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malta-my.sharepoint.com/personal/luca_apvalletta_eu/Documents/excel_EPDB_eplusTemplate/EplusCheck/"/>
    </mc:Choice>
  </mc:AlternateContent>
  <xr:revisionPtr revIDLastSave="409" documentId="8_{8804FDC0-E303-4D3C-97F0-3914C331AB01}" xr6:coauthVersionLast="33" xr6:coauthVersionMax="38" xr10:uidLastSave="{A67E00B0-20A9-40F3-8D0A-28DCDAFFFDAB}"/>
  <bookViews>
    <workbookView xWindow="0" yWindow="0" windowWidth="13080" windowHeight="12225" activeTab="1" xr2:uid="{77ADD523-156A-40F8-8A6F-1B2E0FDAB421}"/>
  </bookViews>
  <sheets>
    <sheet name="Check Total lights heating" sheetId="1" r:id="rId1"/>
    <sheet name="Heatbalance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2" l="1"/>
  <c r="D36" i="2" l="1"/>
  <c r="AF5" i="2" l="1"/>
  <c r="AI5" i="2" s="1"/>
  <c r="AJ5" i="2" s="1"/>
  <c r="AF6" i="2"/>
  <c r="AI6" i="2" s="1"/>
  <c r="AJ6" i="2" s="1"/>
  <c r="AF7" i="2"/>
  <c r="AI7" i="2" s="1"/>
  <c r="AJ7" i="2" s="1"/>
  <c r="AF8" i="2"/>
  <c r="AI8" i="2" s="1"/>
  <c r="AJ8" i="2" s="1"/>
  <c r="AF9" i="2"/>
  <c r="AI9" i="2" s="1"/>
  <c r="AJ9" i="2" s="1"/>
  <c r="AF10" i="2"/>
  <c r="AI10" i="2" s="1"/>
  <c r="AJ10" i="2" s="1"/>
  <c r="AF11" i="2"/>
  <c r="AI11" i="2" s="1"/>
  <c r="AJ11" i="2" s="1"/>
  <c r="AF12" i="2"/>
  <c r="AI12" i="2" s="1"/>
  <c r="AJ12" i="2" s="1"/>
  <c r="AF13" i="2"/>
  <c r="AI13" i="2" s="1"/>
  <c r="AJ13" i="2" s="1"/>
  <c r="AF14" i="2"/>
  <c r="AI14" i="2" s="1"/>
  <c r="AJ14" i="2" s="1"/>
  <c r="AF15" i="2"/>
  <c r="AI15" i="2" s="1"/>
  <c r="AJ15" i="2" s="1"/>
  <c r="AF4" i="2"/>
  <c r="AI4" i="2" s="1"/>
  <c r="AJ4" i="2" s="1"/>
  <c r="H57" i="2" l="1"/>
  <c r="G4" i="2" l="1"/>
  <c r="C16" i="2"/>
  <c r="D16" i="2"/>
  <c r="E16" i="2"/>
  <c r="I21" i="2"/>
  <c r="I22" i="2"/>
  <c r="J21" i="2" s="1"/>
  <c r="E49" i="2" s="1"/>
  <c r="H10" i="2"/>
  <c r="E9" i="2"/>
  <c r="E10" i="2"/>
  <c r="E11" i="2"/>
  <c r="E8" i="2"/>
  <c r="H33" i="2"/>
  <c r="F49" i="2" s="1"/>
  <c r="B76" i="2"/>
  <c r="H76" i="2"/>
  <c r="E76" i="2"/>
  <c r="F76" i="2"/>
  <c r="G76" i="2"/>
  <c r="D72" i="2"/>
  <c r="D39" i="2"/>
  <c r="G39" i="2" s="1"/>
  <c r="H39" i="2" s="1"/>
  <c r="D38" i="2"/>
  <c r="G38" i="2" s="1"/>
  <c r="H38" i="2" s="1"/>
  <c r="D37" i="2"/>
  <c r="G36" i="2"/>
  <c r="D14" i="2"/>
  <c r="G37" i="2"/>
  <c r="H37" i="2" s="1"/>
  <c r="I23" i="2"/>
  <c r="I24" i="2"/>
  <c r="E29" i="2"/>
  <c r="G30" i="2" s="1"/>
  <c r="E27" i="2"/>
  <c r="G27" i="2" s="1"/>
  <c r="E28" i="2"/>
  <c r="G28" i="2" s="1"/>
  <c r="G29" i="2"/>
  <c r="T10" i="2"/>
  <c r="T11" i="2"/>
  <c r="S11" i="2"/>
  <c r="S10" i="2"/>
  <c r="R11" i="2"/>
  <c r="R10" i="2"/>
  <c r="C76" i="2"/>
  <c r="C14" i="2"/>
  <c r="D4" i="2"/>
  <c r="F11" i="2"/>
  <c r="H11" i="2" s="1"/>
  <c r="F9" i="2"/>
  <c r="H9" i="2"/>
  <c r="F8" i="2"/>
  <c r="H8" i="2" s="1"/>
  <c r="F3" i="1"/>
  <c r="G3" i="1"/>
  <c r="C4" i="1"/>
  <c r="C5" i="1"/>
  <c r="C6" i="1"/>
  <c r="C7" i="1"/>
  <c r="C8" i="1"/>
  <c r="C9" i="1"/>
  <c r="C10" i="1"/>
  <c r="C11" i="1"/>
  <c r="C3" i="1"/>
  <c r="E3" i="1"/>
  <c r="C12" i="1"/>
  <c r="I37" i="2" l="1"/>
  <c r="I39" i="2"/>
  <c r="I38" i="2"/>
  <c r="H36" i="2"/>
  <c r="I36" i="2" s="1"/>
  <c r="J36" i="2"/>
  <c r="K36" i="2" s="1"/>
  <c r="G49" i="2" s="1"/>
  <c r="I8" i="2"/>
  <c r="J8" i="2"/>
  <c r="B49" i="2" s="1"/>
  <c r="H14" i="2"/>
  <c r="C49" i="2" s="1"/>
  <c r="I16" i="2"/>
  <c r="I27" i="2"/>
  <c r="D49" i="2" s="1"/>
  <c r="M8" i="2"/>
  <c r="N8" i="2" s="1"/>
  <c r="B5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Luca Caruso</author>
  </authors>
  <commentList>
    <comment ref="D13" authorId="0" shapeId="0" xr:uid="{D451A83F-9E72-4CBB-820D-89BCBD294E2F}">
      <text>
        <r>
          <rPr>
            <b/>
            <sz val="9"/>
            <color indexed="81"/>
            <rFont val="Tahoma"/>
            <family val="2"/>
          </rPr>
          <t>Luca Caruso:</t>
        </r>
        <r>
          <rPr>
            <sz val="9"/>
            <color indexed="81"/>
            <rFont val="Tahoma"/>
            <family val="2"/>
          </rPr>
          <t xml:space="preserve">
consider just one hour</t>
        </r>
      </text>
    </comment>
    <comment ref="F14" authorId="0" shapeId="0" xr:uid="{AEA8FEF2-8669-42FF-92FE-FE21A0976CFA}">
      <text>
        <r>
          <rPr>
            <b/>
            <sz val="9"/>
            <color indexed="81"/>
            <rFont val="Tahoma"/>
            <family val="2"/>
          </rPr>
          <t>Luca Caruso: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D15" authorId="0" shapeId="0" xr:uid="{B122A6DD-2C3E-4E13-8F79-9016416809D7}">
      <text>
        <r>
          <rPr>
            <b/>
            <sz val="9"/>
            <color indexed="81"/>
            <rFont val="Tahoma"/>
            <family val="2"/>
          </rPr>
          <t>Luca Caruso:</t>
        </r>
        <r>
          <rPr>
            <sz val="9"/>
            <color indexed="81"/>
            <rFont val="Tahoma"/>
            <family val="2"/>
          </rPr>
          <t xml:space="preserve">
consider just one hour</t>
        </r>
      </text>
    </comment>
    <comment ref="I15" authorId="0" shapeId="0" xr:uid="{FE07C643-7DCF-496C-BD6A-B4C757F6C2C5}">
      <text>
        <r>
          <rPr>
            <b/>
            <sz val="9"/>
            <color indexed="81"/>
            <rFont val="Tahoma"/>
            <charset val="1"/>
          </rPr>
          <t>Luca Caruso:</t>
        </r>
        <r>
          <rPr>
            <sz val="9"/>
            <color indexed="81"/>
            <rFont val="Tahoma"/>
            <charset val="1"/>
          </rPr>
          <t xml:space="preserve">
Equazione della ventilazione col latente dal metodo carrier (cammarata IT 2014 - Condizionamento pag 46</t>
        </r>
      </text>
    </comment>
    <comment ref="G16" authorId="0" shapeId="0" xr:uid="{FE2F477A-0472-4858-8CDD-39AC95782FF7}">
      <text>
        <r>
          <rPr>
            <b/>
            <sz val="9"/>
            <color indexed="81"/>
            <rFont val="Tahoma"/>
            <family val="2"/>
          </rPr>
          <t>Luca Caruso: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C20" authorId="0" shapeId="0" xr:uid="{69FFF4CB-4BA4-4B98-94FE-3F4B92CB0B03}">
      <text>
        <r>
          <rPr>
            <b/>
            <sz val="9"/>
            <color indexed="81"/>
            <rFont val="Tahoma"/>
            <family val="2"/>
          </rPr>
          <t>Luca Caruso:</t>
        </r>
        <r>
          <rPr>
            <sz val="9"/>
            <color indexed="81"/>
            <rFont val="Tahoma"/>
            <family val="2"/>
          </rPr>
          <t xml:space="preserve">
from the EPDRM notes</t>
        </r>
      </text>
    </comment>
    <comment ref="D20" authorId="0" shapeId="0" xr:uid="{DAE8FBCB-A228-4E13-80E3-D6C4690EC8CE}">
      <text>
        <r>
          <rPr>
            <b/>
            <sz val="9"/>
            <color indexed="81"/>
            <rFont val="Tahoma"/>
            <family val="2"/>
          </rPr>
          <t>Luca Caruso:</t>
        </r>
        <r>
          <rPr>
            <sz val="9"/>
            <color indexed="81"/>
            <rFont val="Tahoma"/>
            <family val="2"/>
          </rPr>
          <t xml:space="preserve">
from datalist epdrm</t>
        </r>
      </text>
    </comment>
    <comment ref="H20" authorId="0" shapeId="0" xr:uid="{5875B1CA-E1A6-44D5-B163-8CBBAF8E7B93}">
      <text>
        <r>
          <rPr>
            <b/>
            <sz val="9"/>
            <color indexed="81"/>
            <rFont val="Tahoma"/>
            <family val="2"/>
          </rPr>
          <t>Luca Caruso:</t>
        </r>
        <r>
          <rPr>
            <sz val="9"/>
            <color indexed="81"/>
            <rFont val="Tahoma"/>
            <family val="2"/>
          </rPr>
          <t xml:space="preserve">
from surface resistance guide f</t>
        </r>
      </text>
    </comment>
    <comment ref="C26" authorId="0" shapeId="0" xr:uid="{D027F622-8A58-44A5-8B1E-8F5C641A3AFE}">
      <text>
        <r>
          <rPr>
            <b/>
            <sz val="9"/>
            <color indexed="81"/>
            <rFont val="Tahoma"/>
            <family val="2"/>
          </rPr>
          <t>Luca Caruso:</t>
        </r>
        <r>
          <rPr>
            <sz val="9"/>
            <color indexed="81"/>
            <rFont val="Tahoma"/>
            <family val="2"/>
          </rPr>
          <t xml:space="preserve">
from the EPDRM notes</t>
        </r>
      </text>
    </comment>
    <comment ref="D26" authorId="0" shapeId="0" xr:uid="{8770D717-9C2F-4B20-A257-35165ED9300C}">
      <text>
        <r>
          <rPr>
            <b/>
            <sz val="9"/>
            <color indexed="81"/>
            <rFont val="Tahoma"/>
            <family val="2"/>
          </rPr>
          <t>Luca Caruso:</t>
        </r>
        <r>
          <rPr>
            <sz val="9"/>
            <color indexed="81"/>
            <rFont val="Tahoma"/>
            <family val="2"/>
          </rPr>
          <t xml:space="preserve">
from datalist epdrm</t>
        </r>
      </text>
    </comment>
    <comment ref="D35" authorId="0" shapeId="0" xr:uid="{05144437-C1CF-4CB9-B2C8-857647AFB1A4}">
      <text>
        <r>
          <rPr>
            <b/>
            <sz val="9"/>
            <color indexed="81"/>
            <rFont val="Tahoma"/>
            <family val="2"/>
          </rPr>
          <t>Luca Caruso:</t>
        </r>
        <r>
          <rPr>
            <sz val="9"/>
            <color indexed="81"/>
            <rFont val="Tahoma"/>
            <family val="2"/>
          </rPr>
          <t xml:space="preserve">
Cibse Guide A-consider just one hour</t>
        </r>
      </text>
    </comment>
    <comment ref="G35" authorId="0" shapeId="0" xr:uid="{A7C77943-05B6-4D9C-A28A-1C1289C87475}">
      <text>
        <r>
          <rPr>
            <b/>
            <sz val="9"/>
            <color indexed="81"/>
            <rFont val="Tahoma"/>
            <family val="2"/>
          </rPr>
          <t>Luca Caruso:</t>
        </r>
        <r>
          <rPr>
            <sz val="9"/>
            <color indexed="81"/>
            <rFont val="Tahoma"/>
            <family val="2"/>
          </rPr>
          <t xml:space="preserve">
Diurnal heat capacity</t>
        </r>
      </text>
    </comment>
    <comment ref="B56" authorId="0" shapeId="0" xr:uid="{667039A4-633A-4978-9D13-8A6BF0124A69}">
      <text>
        <r>
          <rPr>
            <b/>
            <sz val="9"/>
            <color indexed="81"/>
            <rFont val="Tahoma"/>
            <family val="2"/>
          </rPr>
          <t>Luca Caruso:</t>
        </r>
        <r>
          <rPr>
            <sz val="9"/>
            <color indexed="81"/>
            <rFont val="Tahoma"/>
            <family val="2"/>
          </rPr>
          <t xml:space="preserve">
scambi convettivi con le superfici interne</t>
        </r>
      </text>
    </comment>
    <comment ref="C56" authorId="0" shapeId="0" xr:uid="{ACB26C38-900B-4E10-B2AE-9EF9C3743B8B}">
      <text>
        <r>
          <rPr>
            <b/>
            <sz val="9"/>
            <color indexed="81"/>
            <rFont val="Tahoma"/>
            <family val="2"/>
          </rPr>
          <t>Luca Caruso:</t>
        </r>
        <r>
          <rPr>
            <sz val="9"/>
            <color indexed="81"/>
            <rFont val="Tahoma"/>
            <family val="2"/>
          </rPr>
          <t xml:space="preserve">
Calore trasferito dagli internal gain all'aria</t>
        </r>
      </text>
    </comment>
    <comment ref="D56" authorId="0" shapeId="0" xr:uid="{DE57594B-5728-4AE4-8715-726486E3CDB6}">
      <text>
        <r>
          <rPr>
            <b/>
            <sz val="9"/>
            <color indexed="81"/>
            <rFont val="Tahoma"/>
            <family val="2"/>
          </rPr>
          <t>Luca Caruso:</t>
        </r>
        <r>
          <rPr>
            <sz val="9"/>
            <color indexed="81"/>
            <rFont val="Tahoma"/>
            <family val="2"/>
          </rPr>
          <t xml:space="preserve">
scambi di massa con le altre zone accoppiate</t>
        </r>
      </text>
    </comment>
    <comment ref="E56" authorId="0" shapeId="0" xr:uid="{67419F60-9A9F-46A1-AB15-7F17E62C6E2D}">
      <text>
        <r>
          <rPr>
            <b/>
            <sz val="9"/>
            <color indexed="81"/>
            <rFont val="Tahoma"/>
            <family val="2"/>
          </rPr>
          <t>Luca Caruso:</t>
        </r>
        <r>
          <rPr>
            <sz val="9"/>
            <color indexed="81"/>
            <rFont val="Tahoma"/>
            <family val="2"/>
          </rPr>
          <t xml:space="preserve">
Calore dell'aria proveniente dall'esterno (nat ventilation and infiltration )</t>
        </r>
      </text>
    </comment>
    <comment ref="F56" authorId="0" shapeId="0" xr:uid="{2FA863FB-CCFA-4CF9-98E0-4787BC12EDAF}">
      <text>
        <r>
          <rPr>
            <b/>
            <sz val="9"/>
            <color indexed="81"/>
            <rFont val="Tahoma"/>
            <family val="2"/>
          </rPr>
          <t>Luca Caruso:</t>
        </r>
        <r>
          <rPr>
            <sz val="9"/>
            <color indexed="81"/>
            <rFont val="Tahoma"/>
            <family val="2"/>
          </rPr>
          <t xml:space="preserve">
calore fornito all'aria da HVAC ad aria </t>
        </r>
      </text>
    </comment>
    <comment ref="G56" authorId="0" shapeId="0" xr:uid="{F0988E22-E962-48A0-BA30-58F50BFD05AF}">
      <text>
        <r>
          <rPr>
            <b/>
            <sz val="9"/>
            <color indexed="81"/>
            <rFont val="Tahoma"/>
            <family val="2"/>
          </rPr>
          <t>Luca Caruso:</t>
        </r>
        <r>
          <rPr>
            <sz val="9"/>
            <color indexed="81"/>
            <rFont val="Tahoma"/>
            <family val="2"/>
          </rPr>
          <t xml:space="preserve">
calore ceduto per convezione da HVAC non tutt'aria  (radiatori, travi fredde ecc)</t>
        </r>
      </text>
    </comment>
    <comment ref="I71" authorId="0" shapeId="0" xr:uid="{1A2A1605-A296-4D18-85F3-5EDD193E2777}">
      <text>
        <r>
          <rPr>
            <b/>
            <sz val="9"/>
            <color indexed="81"/>
            <rFont val="Tahoma"/>
            <charset val="1"/>
          </rPr>
          <t>Luca Caruso:</t>
        </r>
        <r>
          <rPr>
            <sz val="9"/>
            <color indexed="81"/>
            <rFont val="Tahoma"/>
            <charset val="1"/>
          </rPr>
          <t xml:space="preserve">
sum of all the capacitive elements of the envelope.</t>
        </r>
      </text>
    </comment>
  </commentList>
</comments>
</file>

<file path=xl/sharedStrings.xml><?xml version="1.0" encoding="utf-8"?>
<sst xmlns="http://schemas.openxmlformats.org/spreadsheetml/2006/main" count="217" uniqueCount="170">
  <si>
    <t>thermal zone</t>
  </si>
  <si>
    <t>Power (W/m2)</t>
  </si>
  <si>
    <t>cond.Surface (m2)</t>
  </si>
  <si>
    <t>Heat transfer (W)</t>
  </si>
  <si>
    <t>Schedule coeff.</t>
  </si>
  <si>
    <t>Heat Transfer (W)</t>
  </si>
  <si>
    <t>Lights Total Heating Energy (J)</t>
  </si>
  <si>
    <t>Lights Total Heating Energy (Wh)</t>
  </si>
  <si>
    <t>W</t>
  </si>
  <si>
    <t>xe (kgawater/kgdryair)</t>
  </si>
  <si>
    <t>Site Outdoor Air Humidity Ratio</t>
  </si>
  <si>
    <t xml:space="preserve">Thermal zone </t>
  </si>
  <si>
    <t>Masterbed</t>
  </si>
  <si>
    <t>Conditioned area  (m2)</t>
  </si>
  <si>
    <t>Height (m)</t>
  </si>
  <si>
    <t>xi (kgawater/kgdryair)</t>
  </si>
  <si>
    <t>Zone Air Humidity Ratio</t>
  </si>
  <si>
    <t>date</t>
  </si>
  <si>
    <r>
      <t>Outdoor Dbt (</t>
    </r>
    <r>
      <rPr>
        <sz val="11"/>
        <color theme="1"/>
        <rFont val="Arial"/>
        <family val="2"/>
      </rPr>
      <t>°</t>
    </r>
    <r>
      <rPr>
        <sz val="11"/>
        <color theme="1"/>
        <rFont val="Calibri"/>
        <family val="2"/>
        <scheme val="minor"/>
      </rPr>
      <t>C)</t>
    </r>
  </si>
  <si>
    <r>
      <t>Indoor Dbt (</t>
    </r>
    <r>
      <rPr>
        <sz val="11"/>
        <color theme="1"/>
        <rFont val="Arial"/>
        <family val="2"/>
      </rPr>
      <t>°</t>
    </r>
    <r>
      <rPr>
        <sz val="11"/>
        <color theme="1"/>
        <rFont val="Calibri"/>
        <family val="2"/>
        <scheme val="minor"/>
      </rPr>
      <t>C)</t>
    </r>
  </si>
  <si>
    <r>
      <rPr>
        <sz val="11"/>
        <color theme="1"/>
        <rFont val="Arial"/>
        <family val="2"/>
      </rPr>
      <t>Δ</t>
    </r>
    <r>
      <rPr>
        <sz val="11"/>
        <color theme="1"/>
        <rFont val="Calibri"/>
        <family val="2"/>
        <scheme val="minor"/>
      </rPr>
      <t>T (°K)</t>
    </r>
  </si>
  <si>
    <r>
      <t>xe-xi (kg</t>
    </r>
    <r>
      <rPr>
        <vertAlign val="subscript"/>
        <sz val="11"/>
        <color theme="1"/>
        <rFont val="Calibri"/>
        <family val="2"/>
        <scheme val="minor"/>
      </rPr>
      <t>water</t>
    </r>
    <r>
      <rPr>
        <sz val="11"/>
        <color theme="1"/>
        <rFont val="Calibri"/>
        <family val="2"/>
        <scheme val="minor"/>
      </rPr>
      <t>/kg</t>
    </r>
    <r>
      <rPr>
        <vertAlign val="subscript"/>
        <sz val="11"/>
        <color theme="1"/>
        <rFont val="Calibri"/>
        <family val="2"/>
        <scheme val="minor"/>
      </rPr>
      <t>dryair</t>
    </r>
    <r>
      <rPr>
        <sz val="11"/>
        <color theme="1"/>
        <rFont val="Calibri"/>
        <family val="2"/>
        <scheme val="minor"/>
      </rPr>
      <t>)</t>
    </r>
  </si>
  <si>
    <t xml:space="preserve">ΔT &gt;0 </t>
  </si>
  <si>
    <t>Heat loss</t>
  </si>
  <si>
    <t>GuideF conventional Surface Thermal  Resistance (Convection+radiation)</t>
  </si>
  <si>
    <t xml:space="preserve"> 01/01  05:00:00</t>
  </si>
  <si>
    <t xml:space="preserve">ΔT &lt;0 </t>
  </si>
  <si>
    <t>Heat gain</t>
  </si>
  <si>
    <r>
      <t>[m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K/W]</t>
    </r>
  </si>
  <si>
    <t>Upwards (Roofs)</t>
  </si>
  <si>
    <t>Horizontal
(exp. Walls)</t>
  </si>
  <si>
    <t>Downwards
 (exp floors)</t>
  </si>
  <si>
    <t>Rsi</t>
  </si>
  <si>
    <t xml:space="preserve">Surface thermal resistance in U value  not included because is calculated by Eplus </t>
  </si>
  <si>
    <t>Rse</t>
  </si>
  <si>
    <t>Convection and conduction</t>
  </si>
  <si>
    <t>Exposure</t>
  </si>
  <si>
    <t xml:space="preserve"> Opaque Area (m2)</t>
  </si>
  <si>
    <t>U value (W/m2K)</t>
  </si>
  <si>
    <t>SubTotal wall Conduction Heat Transfer (W/K)</t>
  </si>
  <si>
    <t>Glazing Area (m2)</t>
  </si>
  <si>
    <t>SubTotalGlazing Transfer (W/K)</t>
  </si>
  <si>
    <t>Total Conduction Heat Transfer (W/K)</t>
  </si>
  <si>
    <t>Total Conduction Heat Transfer (W)</t>
  </si>
  <si>
    <t>GuideF conventional Surface Thermal  Transmittance (Convection+radiation)</t>
  </si>
  <si>
    <t>NW</t>
  </si>
  <si>
    <t>[W/m2K]</t>
  </si>
  <si>
    <t>SE</t>
  </si>
  <si>
    <t>Usi</t>
  </si>
  <si>
    <t>S</t>
  </si>
  <si>
    <t>Use</t>
  </si>
  <si>
    <t>ACH -sensible</t>
  </si>
  <si>
    <t>Volume (m3)</t>
  </si>
  <si>
    <t>air Density * specific Heat (Wh/m3 K)</t>
  </si>
  <si>
    <t>Infiltration (m)</t>
  </si>
  <si>
    <t>ACH inf</t>
  </si>
  <si>
    <t>Eplus Schedule Coefficient</t>
  </si>
  <si>
    <t>Convection Heat Transfer Sensible(Wh)</t>
  </si>
  <si>
    <t>ACH -latent</t>
  </si>
  <si>
    <t>r calore latente di vaporizzazione dell’acqua (Wh/ Kg)</t>
  </si>
  <si>
    <t>densita dellária (kg/m3)</t>
  </si>
  <si>
    <t>Convection Heat Transfer Latent (Wh)</t>
  </si>
  <si>
    <t>Internal  Gain and  solar gains</t>
  </si>
  <si>
    <t>Solar beam (W/m2)</t>
  </si>
  <si>
    <t>Shading Factor</t>
  </si>
  <si>
    <t>Ext Adsorptance</t>
  </si>
  <si>
    <t>Thermal Transmittance of ext surface (W/m2K)</t>
  </si>
  <si>
    <t>Conductive Solar Heat Gain (W)</t>
  </si>
  <si>
    <t>Total Conductive Solar Heat Gain (W)</t>
  </si>
  <si>
    <t>H</t>
  </si>
  <si>
    <t>g value</t>
  </si>
  <si>
    <t>Direct Solar Heat Gain (W)</t>
  </si>
  <si>
    <t>Room Adsorptance</t>
  </si>
  <si>
    <t>Total Direct Solar Heat Gain (W)</t>
  </si>
  <si>
    <t>People Heat Gain (W/m2)</t>
  </si>
  <si>
    <t xml:space="preserve"> Eplus schedule coefficient</t>
  </si>
  <si>
    <t>Light Heat Gain (W/m2)</t>
  </si>
  <si>
    <t>Eplus schedule coefficient</t>
  </si>
  <si>
    <t>Appliances Heat Gain (W/m2)</t>
  </si>
  <si>
    <t>Total H G (W)</t>
  </si>
  <si>
    <t>Exposure and Int.Material</t>
  </si>
  <si>
    <t>Density (kg/m3)</t>
  </si>
  <si>
    <t>Specific Heat Capacity (Wh/kgK)</t>
  </si>
  <si>
    <t>Surface Area (m2)</t>
  </si>
  <si>
    <t>Effective thickness (m)</t>
  </si>
  <si>
    <t>DHC (Wh/K)</t>
  </si>
  <si>
    <t>Total DHC (Wh)</t>
  </si>
  <si>
    <t>Results of Manual Calculations</t>
  </si>
  <si>
    <t>From EPDRM Notes</t>
  </si>
  <si>
    <t>Conduction Heat Transfer (W)</t>
  </si>
  <si>
    <t>Convection Heat Transfer (W)</t>
  </si>
  <si>
    <t>Solar Direct Heat Gain (W)</t>
  </si>
  <si>
    <t>Solar Conductive HG (W)</t>
  </si>
  <si>
    <t>Internal HG (W)</t>
  </si>
  <si>
    <t>Thermal Mass (W)</t>
  </si>
  <si>
    <t>Month</t>
  </si>
  <si>
    <t>Isol_Daily global solar irradiation, W/m2</t>
  </si>
  <si>
    <t>HOR</t>
  </si>
  <si>
    <t>VERTICAL</t>
  </si>
  <si>
    <t>Tot Sensible Heat/Cooling Needs (kW)</t>
  </si>
  <si>
    <t>N</t>
  </si>
  <si>
    <t>NE</t>
  </si>
  <si>
    <t>E</t>
  </si>
  <si>
    <t>SW</t>
  </si>
  <si>
    <t>Jan</t>
  </si>
  <si>
    <t>Feb</t>
  </si>
  <si>
    <t>Mar</t>
  </si>
  <si>
    <t>Energy plus results</t>
  </si>
  <si>
    <t>Apr</t>
  </si>
  <si>
    <t>Zone Ideal Loads Zone Sensible Cooling Energy (J)</t>
  </si>
  <si>
    <t>Zone Ideal Loads Zone Sensible heating Energy (J)</t>
  </si>
  <si>
    <t>Zone Air Temperature (°C)</t>
  </si>
  <si>
    <t>Zone Windows Total Heat Gain Energy (J)</t>
  </si>
  <si>
    <t>Zone Windows Total Heat Loss Energy (J)</t>
  </si>
  <si>
    <t>Zone Electric Equipment Total Heating Energy (J)</t>
  </si>
  <si>
    <t>May</t>
  </si>
  <si>
    <t>Jun</t>
  </si>
  <si>
    <t>Jul</t>
  </si>
  <si>
    <t>Aug</t>
  </si>
  <si>
    <t xml:space="preserve"> (W)</t>
  </si>
  <si>
    <t>( W)</t>
  </si>
  <si>
    <t>Sep</t>
  </si>
  <si>
    <t>Oct</t>
  </si>
  <si>
    <t>Nov</t>
  </si>
  <si>
    <t>Surface Inside Face Convection Heat Transfer Coefficient</t>
  </si>
  <si>
    <t>Surface Outside Face Convection Heat Transfer Coefficient</t>
  </si>
  <si>
    <t>Surface Average Face Conduction Heat Transfer Rate</t>
  </si>
  <si>
    <t>Surface Heat Storage Rate</t>
  </si>
  <si>
    <t>Dec</t>
  </si>
  <si>
    <r>
      <t>Sotto l'ipotesi di zone termiche disaccoppiate termicamente, escludendo contributo della massa termica interna e flussi di massa (aira interna tra le zone).(rapp tec 2014 pag 14)
Nell’equazione di equilibrio energetico dell’aria, sopra scritta, si ha a primo membro l’accumulo termico nell’aria e a secondo membro, in ordine, si hanno gli</t>
    </r>
    <r>
      <rPr>
        <b/>
        <sz val="11"/>
        <color theme="1"/>
        <rFont val="Calibri"/>
        <family val="2"/>
        <scheme val="minor"/>
      </rPr>
      <t xml:space="preserve"> scambi termici per trasmissione con le pareti7, il calore di ventilazione, il calore per sorgenti interne e per sorgenti ausiliarie (positivo se per riscaldamento e negativo per raffrescamento) ed infine il flusso attraverso le porte e le finestre. 
(Si assume che nel tempo infinitesimo dt ci sia equilibrio termico)</t>
    </r>
  </si>
  <si>
    <t>Zone Air Heat Balance Surface Convection Rate (W)</t>
  </si>
  <si>
    <t>Zone Air Heat Balance Interzone Air Transfer Rate (W)</t>
  </si>
  <si>
    <t>Zone Air Heat Balance Outdoor Air Transfer Rate (W)</t>
  </si>
  <si>
    <t>Zone Air Heat Balance System Air Transfer Rate (W)</t>
  </si>
  <si>
    <t>Zone Air Heat Balance Internal Convective Heat Gain Rate (W)</t>
  </si>
  <si>
    <t>Zone Air heat balance (lat+sens)</t>
  </si>
  <si>
    <t>The Zone Air Heat Balance System Convective Heat Gain Rate (W)</t>
  </si>
  <si>
    <t>Sum (W)</t>
  </si>
  <si>
    <t>Zone Air Heat Balance Air Energy Storage Rate [W]</t>
  </si>
  <si>
    <t>Sum = Zone AHB Energy storage</t>
  </si>
  <si>
    <t>Thermal Mass (int.side)</t>
  </si>
  <si>
    <t xml:space="preserve">Heat balance per   opaque surface </t>
  </si>
  <si>
    <t>Juan Valleyo Balance</t>
  </si>
  <si>
    <t>Air sol Temperature</t>
  </si>
  <si>
    <t>Surface Inside Face Temperature</t>
  </si>
  <si>
    <t>Surface Outside Face Incident Solar Radiation Rate per Area</t>
  </si>
  <si>
    <t xml:space="preserve">adsorption coef. Of ext wall </t>
  </si>
  <si>
    <t>Site Outdoor Air Drybulb Temperature</t>
  </si>
  <si>
    <t>Glass U value (W/m2K)</t>
  </si>
  <si>
    <t xml:space="preserve">Opaque area </t>
  </si>
  <si>
    <t xml:space="preserve">Conduction through walls </t>
  </si>
  <si>
    <r>
      <t>EPDRM Outdoor DBT (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C)</t>
    </r>
  </si>
  <si>
    <t>Setpoint  (°C)</t>
  </si>
  <si>
    <t>Natural ventilation and infiltration gain/Loss</t>
  </si>
  <si>
    <t>ΔT (°C)</t>
  </si>
  <si>
    <t>Hve (W/K)</t>
  </si>
  <si>
    <t>h per month</t>
  </si>
  <si>
    <t>Qve(kWh)</t>
  </si>
  <si>
    <t>Qve (kW)</t>
  </si>
  <si>
    <t xml:space="preserve">then </t>
  </si>
  <si>
    <r>
      <t xml:space="preserve">Qh/Qc= </t>
    </r>
    <r>
      <rPr>
        <sz val="11"/>
        <color theme="1"/>
        <rFont val="Calibri"/>
        <family val="2"/>
      </rPr>
      <t>Σ</t>
    </r>
    <r>
      <rPr>
        <sz val="11"/>
        <color theme="1"/>
        <rFont val="Calibri"/>
        <family val="2"/>
        <scheme val="minor"/>
      </rPr>
      <t>Qtr+Qve</t>
    </r>
  </si>
  <si>
    <t>and internal gains</t>
  </si>
  <si>
    <t>Hourly avg (wH)</t>
  </si>
  <si>
    <t>hourly Avg (Wh/K)</t>
  </si>
  <si>
    <t>Zone Sensible Heat Needs per hour</t>
  </si>
  <si>
    <t>west</t>
  </si>
  <si>
    <t>hourly Avg (Wh)</t>
  </si>
  <si>
    <t>W (glob)</t>
  </si>
  <si>
    <t>Overall zone  results (sensible)</t>
  </si>
  <si>
    <t>Surface Heat Storage Energy (J)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</si>
</sst>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vertAlign val="subscript"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4" tint="-0.249977111117893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12" applyNumberFormat="0" applyAlignment="0" applyProtection="0"/>
    <xf numFmtId="0" fontId="18" fillId="13" borderId="13" applyNumberFormat="0" applyAlignment="0" applyProtection="0"/>
    <xf numFmtId="0" fontId="19" fillId="13" borderId="12" applyNumberFormat="0" applyAlignment="0" applyProtection="0"/>
    <xf numFmtId="0" fontId="20" fillId="0" borderId="14" applyNumberFormat="0" applyFill="0" applyAlignment="0" applyProtection="0"/>
    <xf numFmtId="0" fontId="21" fillId="14" borderId="15" applyNumberFormat="0" applyAlignment="0" applyProtection="0"/>
    <xf numFmtId="0" fontId="22" fillId="0" borderId="0" applyNumberFormat="0" applyFill="0" applyBorder="0" applyAlignment="0" applyProtection="0"/>
    <xf numFmtId="0" fontId="9" fillId="15" borderId="16" applyNumberFormat="0" applyFont="0" applyAlignment="0" applyProtection="0"/>
    <xf numFmtId="0" fontId="23" fillId="0" borderId="0" applyNumberFormat="0" applyFill="0" applyBorder="0" applyAlignment="0" applyProtection="0"/>
    <xf numFmtId="0" fontId="4" fillId="0" borderId="17" applyNumberFormat="0" applyFill="0" applyAlignment="0" applyProtection="0"/>
    <xf numFmtId="0" fontId="2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4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24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4" borderId="0" xfId="0" applyFill="1"/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8" fillId="8" borderId="0" xfId="0" applyFont="1" applyFill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0" xfId="0" applyAlignment="1">
      <alignment wrapText="1"/>
    </xf>
    <xf numFmtId="0" fontId="0" fillId="15" borderId="16" xfId="15" applyFont="1"/>
    <xf numFmtId="0" fontId="4" fillId="0" borderId="0" xfId="0" applyFont="1" applyAlignment="1">
      <alignment horizontal="center" vertical="center" textRotation="90" wrapText="1"/>
    </xf>
    <xf numFmtId="0" fontId="0" fillId="3" borderId="0" xfId="0" applyFill="1"/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vertical="top" wrapText="1"/>
    </xf>
    <xf numFmtId="0" fontId="0" fillId="3" borderId="18" xfId="0" applyFill="1" applyBorder="1" applyAlignment="1">
      <alignment vertical="top" wrapText="1"/>
    </xf>
    <xf numFmtId="0" fontId="0" fillId="0" borderId="18" xfId="0" applyBorder="1"/>
    <xf numFmtId="0" fontId="0" fillId="40" borderId="0" xfId="0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0" fillId="7" borderId="0" xfId="0" applyFill="1"/>
    <xf numFmtId="0" fontId="29" fillId="0" borderId="0" xfId="0" applyFont="1"/>
    <xf numFmtId="0" fontId="0" fillId="41" borderId="0" xfId="0" applyFill="1"/>
    <xf numFmtId="0" fontId="29" fillId="0" borderId="0" xfId="0" applyFont="1" applyAlignment="1">
      <alignment wrapText="1"/>
    </xf>
    <xf numFmtId="0" fontId="22" fillId="0" borderId="0" xfId="0" applyFont="1"/>
    <xf numFmtId="0" fontId="30" fillId="0" borderId="0" xfId="0" applyFont="1"/>
    <xf numFmtId="0" fontId="6" fillId="6" borderId="0" xfId="0" applyFont="1" applyFill="1" applyAlignment="1">
      <alignment horizontal="center" vertical="center" textRotation="90" wrapText="1"/>
    </xf>
    <xf numFmtId="0" fontId="0" fillId="6" borderId="0" xfId="0" applyFill="1" applyAlignment="1">
      <alignment horizontal="center" vertical="center" textRotation="90" wrapText="1"/>
    </xf>
    <xf numFmtId="0" fontId="5" fillId="7" borderId="0" xfId="0" applyFont="1" applyFill="1" applyAlignment="1">
      <alignment horizontal="center" vertical="center" textRotation="90" wrapText="1"/>
    </xf>
    <xf numFmtId="0" fontId="0" fillId="7" borderId="0" xfId="0" applyFill="1" applyAlignment="1">
      <alignment horizontal="center" vertical="center" textRotation="90" wrapText="1"/>
    </xf>
    <xf numFmtId="0" fontId="28" fillId="4" borderId="0" xfId="0" applyFont="1" applyFill="1" applyAlignment="1">
      <alignment horizontal="center" vertical="center" textRotation="90" wrapText="1"/>
    </xf>
    <xf numFmtId="0" fontId="5" fillId="4" borderId="0" xfId="0" applyFont="1" applyFill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2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590549</xdr:colOff>
      <xdr:row>38</xdr:row>
      <xdr:rowOff>72668</xdr:rowOff>
    </xdr:from>
    <xdr:to>
      <xdr:col>23</xdr:col>
      <xdr:colOff>341964</xdr:colOff>
      <xdr:row>46</xdr:row>
      <xdr:rowOff>142437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BC856F-30E1-4E13-A1B7-AC08D094D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02474" y="9464318"/>
          <a:ext cx="3409015" cy="1593769"/>
        </a:xfrm>
        <a:prstGeom prst="rect">
          <a:avLst/>
        </a:prstGeom>
      </xdr:spPr>
    </xdr:pic>
    <xdr:clientData/>
  </xdr:twoCellAnchor>
  <xdr:twoCellAnchor editAs="oneCell">
    <xdr:from>
      <xdr:col>11</xdr:col>
      <xdr:colOff>66675</xdr:colOff>
      <xdr:row>70</xdr:row>
      <xdr:rowOff>171450</xdr:rowOff>
    </xdr:from>
    <xdr:to>
      <xdr:col>24</xdr:col>
      <xdr:colOff>265684</xdr:colOff>
      <xdr:row>102</xdr:row>
      <xdr:rowOff>65879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27DBDC-C13F-4A1E-A476-0127D6F1C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602200" y="17278350"/>
          <a:ext cx="8123809" cy="6371429"/>
        </a:xfrm>
        <a:prstGeom prst="rect">
          <a:avLst/>
        </a:prstGeom>
      </xdr:spPr>
    </xdr:pic>
    <xdr:clientData/>
  </xdr:twoCellAnchor>
  <xdr:twoCellAnchor editAs="oneCell">
    <xdr:from>
      <xdr:col>37</xdr:col>
      <xdr:colOff>123825</xdr:colOff>
      <xdr:row>10</xdr:row>
      <xdr:rowOff>114300</xdr:rowOff>
    </xdr:from>
    <xdr:to>
      <xdr:col>45</xdr:col>
      <xdr:colOff>332619</xdr:colOff>
      <xdr:row>18</xdr:row>
      <xdr:rowOff>144204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14BC124-5558-4206-A5CC-12987A215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746950" y="4324350"/>
          <a:ext cx="5085594" cy="1753929"/>
        </a:xfrm>
        <a:prstGeom prst="rect">
          <a:avLst/>
        </a:prstGeom>
      </xdr:spPr>
    </xdr:pic>
    <xdr:clientData/>
  </xdr:twoCellAnchor>
  <xdr:twoCellAnchor editAs="oneCell">
    <xdr:from>
      <xdr:col>37</xdr:col>
      <xdr:colOff>28575</xdr:colOff>
      <xdr:row>6</xdr:row>
      <xdr:rowOff>133350</xdr:rowOff>
    </xdr:from>
    <xdr:to>
      <xdr:col>45</xdr:col>
      <xdr:colOff>229940</xdr:colOff>
      <xdr:row>8</xdr:row>
      <xdr:rowOff>561975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E2D1C3-22D4-4802-8D17-487D361F6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651700" y="2247900"/>
          <a:ext cx="5078165" cy="1571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F354E-1E2D-4400-8D7E-87238831F0C2}">
  <dimension ref="A1:G12"/>
  <sheetViews>
    <sheetView workbookViewId="0">
      <selection activeCell="F21" sqref="F21"/>
    </sheetView>
  </sheetViews>
  <sheetFormatPr defaultRowHeight="15" x14ac:dyDescent="0.25"/>
  <cols>
    <col min="1" max="1" width="14.140625" bestFit="1" customWidth="1"/>
    <col min="2" max="2" width="17.28515625" bestFit="1" customWidth="1"/>
    <col min="3" max="3" width="16.42578125" bestFit="1" customWidth="1"/>
    <col min="4" max="4" width="14.85546875" bestFit="1" customWidth="1"/>
    <col min="5" max="5" width="16.7109375" bestFit="1" customWidth="1"/>
    <col min="6" max="6" width="27.85546875" bestFit="1" customWidth="1"/>
    <col min="7" max="7" width="30.28515625" bestFit="1" customWidth="1"/>
  </cols>
  <sheetData>
    <row r="1" spans="1:7" x14ac:dyDescent="0.25">
      <c r="A1" t="s">
        <v>0</v>
      </c>
    </row>
    <row r="2" spans="1:7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7" x14ac:dyDescent="0.25">
      <c r="A3">
        <v>1.5</v>
      </c>
      <c r="B3">
        <v>44</v>
      </c>
      <c r="C3">
        <f>B3*A3</f>
        <v>66</v>
      </c>
      <c r="D3">
        <v>0.3</v>
      </c>
      <c r="E3">
        <f>C3*D3</f>
        <v>19.8</v>
      </c>
      <c r="F3">
        <f>71261</f>
        <v>71261</v>
      </c>
      <c r="G3">
        <f>F3/3600</f>
        <v>19.794722222222223</v>
      </c>
    </row>
    <row r="4" spans="1:7" x14ac:dyDescent="0.25">
      <c r="A4">
        <v>2</v>
      </c>
      <c r="B4">
        <v>28.56</v>
      </c>
      <c r="C4">
        <f t="shared" ref="C4:C11" si="0">B4*A4</f>
        <v>57.12</v>
      </c>
    </row>
    <row r="5" spans="1:7" x14ac:dyDescent="0.25">
      <c r="A5">
        <v>2</v>
      </c>
      <c r="B5">
        <v>74.25</v>
      </c>
      <c r="C5">
        <f t="shared" si="0"/>
        <v>148.5</v>
      </c>
    </row>
    <row r="6" spans="1:7" x14ac:dyDescent="0.25">
      <c r="A6">
        <v>2</v>
      </c>
      <c r="B6">
        <v>64.569999999999993</v>
      </c>
      <c r="C6">
        <f t="shared" si="0"/>
        <v>129.13999999999999</v>
      </c>
    </row>
    <row r="7" spans="1:7" x14ac:dyDescent="0.25">
      <c r="A7">
        <v>1.5</v>
      </c>
      <c r="B7">
        <v>28.56</v>
      </c>
      <c r="C7">
        <f t="shared" si="0"/>
        <v>42.839999999999996</v>
      </c>
    </row>
    <row r="8" spans="1:7" x14ac:dyDescent="0.25">
      <c r="A8">
        <v>1.5</v>
      </c>
      <c r="B8">
        <v>34.89</v>
      </c>
      <c r="C8">
        <f t="shared" si="0"/>
        <v>52.335000000000001</v>
      </c>
    </row>
    <row r="9" spans="1:7" x14ac:dyDescent="0.25">
      <c r="A9">
        <v>1</v>
      </c>
      <c r="B9">
        <v>46.64</v>
      </c>
      <c r="C9">
        <f t="shared" si="0"/>
        <v>46.64</v>
      </c>
    </row>
    <row r="10" spans="1:7" x14ac:dyDescent="0.25">
      <c r="A10">
        <v>1.5</v>
      </c>
      <c r="B10">
        <v>126.43</v>
      </c>
      <c r="C10">
        <f t="shared" si="0"/>
        <v>189.64500000000001</v>
      </c>
    </row>
    <row r="11" spans="1:7" x14ac:dyDescent="0.25">
      <c r="A11">
        <v>2</v>
      </c>
      <c r="B11">
        <v>74.25</v>
      </c>
      <c r="C11">
        <f t="shared" si="0"/>
        <v>148.5</v>
      </c>
    </row>
    <row r="12" spans="1:7" x14ac:dyDescent="0.25">
      <c r="C12">
        <f>SUM(C3:C11)</f>
        <v>880.71999999999991</v>
      </c>
      <c r="D12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8DA9B-6CCB-44EE-B965-17AB16AD2B59}">
  <dimension ref="A1:AM119"/>
  <sheetViews>
    <sheetView tabSelected="1" topLeftCell="E58" workbookViewId="0">
      <selection activeCell="K76" sqref="K76"/>
    </sheetView>
  </sheetViews>
  <sheetFormatPr defaultRowHeight="15" x14ac:dyDescent="0.25"/>
  <cols>
    <col min="1" max="1" width="11.140625" customWidth="1"/>
    <col min="2" max="2" width="27.7109375" bestFit="1" customWidth="1"/>
    <col min="3" max="3" width="24.7109375" bestFit="1" customWidth="1"/>
    <col min="4" max="4" width="33.140625" bestFit="1" customWidth="1"/>
    <col min="5" max="5" width="22" bestFit="1" customWidth="1"/>
    <col min="6" max="7" width="27.7109375" bestFit="1" customWidth="1"/>
    <col min="8" max="8" width="29.85546875" bestFit="1" customWidth="1"/>
    <col min="9" max="9" width="29.28515625" bestFit="1" customWidth="1"/>
    <col min="11" max="11" width="20.5703125" customWidth="1"/>
  </cols>
  <sheetData>
    <row r="1" spans="1:39" x14ac:dyDescent="0.25">
      <c r="H1" s="19" t="s">
        <v>9</v>
      </c>
      <c r="I1" s="19" t="s">
        <v>10</v>
      </c>
    </row>
    <row r="2" spans="1:39" x14ac:dyDescent="0.25">
      <c r="A2" t="s">
        <v>11</v>
      </c>
      <c r="B2" t="s">
        <v>12</v>
      </c>
      <c r="C2" s="2" t="s">
        <v>13</v>
      </c>
      <c r="D2">
        <v>100</v>
      </c>
      <c r="E2" s="2" t="s">
        <v>14</v>
      </c>
      <c r="F2">
        <v>3</v>
      </c>
      <c r="H2" s="19" t="s">
        <v>15</v>
      </c>
      <c r="I2" s="19" t="s">
        <v>16</v>
      </c>
      <c r="AC2" s="34" t="s">
        <v>153</v>
      </c>
      <c r="AD2" s="34"/>
      <c r="AE2" s="34"/>
      <c r="AF2" s="34"/>
      <c r="AG2" s="34"/>
    </row>
    <row r="3" spans="1:39" ht="46.5" x14ac:dyDescent="0.35">
      <c r="A3" s="2" t="s">
        <v>17</v>
      </c>
      <c r="B3" s="2" t="s">
        <v>18</v>
      </c>
      <c r="C3" s="2" t="s">
        <v>19</v>
      </c>
      <c r="D3" s="2" t="s">
        <v>20</v>
      </c>
      <c r="E3" s="2" t="s">
        <v>9</v>
      </c>
      <c r="F3" s="2" t="s">
        <v>15</v>
      </c>
      <c r="G3" t="s">
        <v>21</v>
      </c>
      <c r="H3" s="19" t="s">
        <v>22</v>
      </c>
      <c r="I3" s="19" t="s">
        <v>23</v>
      </c>
      <c r="Q3" t="s">
        <v>24</v>
      </c>
      <c r="AD3" s="18" t="s">
        <v>151</v>
      </c>
      <c r="AE3" s="18" t="s">
        <v>152</v>
      </c>
      <c r="AF3" s="33" t="s">
        <v>154</v>
      </c>
      <c r="AG3" s="35" t="s">
        <v>156</v>
      </c>
      <c r="AH3" s="35" t="s">
        <v>155</v>
      </c>
      <c r="AI3" s="35" t="s">
        <v>158</v>
      </c>
      <c r="AJ3" s="35" t="s">
        <v>157</v>
      </c>
      <c r="AM3" s="35" t="s">
        <v>159</v>
      </c>
    </row>
    <row r="4" spans="1:39" ht="60" x14ac:dyDescent="0.25">
      <c r="A4" t="s">
        <v>25</v>
      </c>
      <c r="B4">
        <v>14.83</v>
      </c>
      <c r="C4">
        <v>17.489999999999998</v>
      </c>
      <c r="D4">
        <f>C4-B4</f>
        <v>2.6599999999999984</v>
      </c>
      <c r="E4">
        <v>7.0392796809881902E-3</v>
      </c>
      <c r="F4">
        <v>7.2287129409632197E-3</v>
      </c>
      <c r="G4">
        <f>(E4-F4)</f>
        <v>-1.8943325997502949E-4</v>
      </c>
      <c r="H4" s="19" t="s">
        <v>26</v>
      </c>
      <c r="I4" s="19" t="s">
        <v>27</v>
      </c>
      <c r="Q4" s="5" t="s">
        <v>28</v>
      </c>
      <c r="R4" s="6" t="s">
        <v>29</v>
      </c>
      <c r="S4" s="6" t="s">
        <v>30</v>
      </c>
      <c r="T4" s="6" t="s">
        <v>31</v>
      </c>
      <c r="AC4" s="36" t="s">
        <v>104</v>
      </c>
      <c r="AD4" s="36">
        <v>12.2</v>
      </c>
      <c r="AE4" s="36">
        <v>19</v>
      </c>
      <c r="AF4" s="36">
        <f>AE4-AD4</f>
        <v>6.8000000000000007</v>
      </c>
      <c r="AG4" s="36">
        <v>744</v>
      </c>
      <c r="AH4" s="36">
        <v>437.71</v>
      </c>
      <c r="AI4" s="36">
        <f>AH4*AF4/1000</f>
        <v>2.9764280000000003</v>
      </c>
      <c r="AJ4" s="36">
        <f>AI4*AG4</f>
        <v>2214.4624320000003</v>
      </c>
      <c r="AM4" t="s">
        <v>160</v>
      </c>
    </row>
    <row r="5" spans="1:39" x14ac:dyDescent="0.25">
      <c r="Q5" t="s">
        <v>32</v>
      </c>
      <c r="R5">
        <v>0.14000000000000001</v>
      </c>
      <c r="S5">
        <v>0.1</v>
      </c>
      <c r="T5">
        <v>0.14000000000000001</v>
      </c>
      <c r="AC5" s="36" t="s">
        <v>105</v>
      </c>
      <c r="AD5" s="36">
        <v>12.4</v>
      </c>
      <c r="AE5" s="36">
        <v>19</v>
      </c>
      <c r="AF5" s="36">
        <f t="shared" ref="AF5:AF15" si="0">AE5-AD5</f>
        <v>6.6</v>
      </c>
      <c r="AG5" s="36">
        <v>672</v>
      </c>
      <c r="AH5" s="36">
        <v>437.71</v>
      </c>
      <c r="AI5" s="36">
        <f t="shared" ref="AI5:AI15" si="1">AH5*AF5/1000</f>
        <v>2.8888859999999994</v>
      </c>
      <c r="AJ5" s="36">
        <f t="shared" ref="AJ5:AJ15" si="2">AI5*AG5</f>
        <v>1941.3313919999996</v>
      </c>
    </row>
    <row r="6" spans="1:39" x14ac:dyDescent="0.25">
      <c r="B6" t="s">
        <v>33</v>
      </c>
      <c r="Q6" t="s">
        <v>34</v>
      </c>
      <c r="R6">
        <v>0.04</v>
      </c>
      <c r="S6">
        <v>0.06</v>
      </c>
      <c r="T6">
        <v>0.04</v>
      </c>
      <c r="AC6" s="36" t="s">
        <v>106</v>
      </c>
      <c r="AD6" s="36">
        <v>13.4</v>
      </c>
      <c r="AE6" s="36">
        <v>19</v>
      </c>
      <c r="AF6" s="36">
        <f t="shared" si="0"/>
        <v>5.6</v>
      </c>
      <c r="AG6" s="36">
        <v>744</v>
      </c>
      <c r="AH6" s="36">
        <v>437.71</v>
      </c>
      <c r="AI6" s="36">
        <f t="shared" si="1"/>
        <v>2.4511759999999998</v>
      </c>
      <c r="AJ6" s="36">
        <f t="shared" si="2"/>
        <v>1823.6749439999999</v>
      </c>
    </row>
    <row r="7" spans="1:39" ht="75" x14ac:dyDescent="0.25">
      <c r="A7" s="38" t="s">
        <v>35</v>
      </c>
      <c r="B7" s="2" t="s">
        <v>36</v>
      </c>
      <c r="C7" s="2" t="s">
        <v>37</v>
      </c>
      <c r="D7" s="2" t="s">
        <v>38</v>
      </c>
      <c r="E7" s="3" t="s">
        <v>39</v>
      </c>
      <c r="F7" s="2" t="s">
        <v>40</v>
      </c>
      <c r="G7" s="2" t="s">
        <v>38</v>
      </c>
      <c r="H7" s="3" t="s">
        <v>41</v>
      </c>
      <c r="I7" s="3" t="s">
        <v>42</v>
      </c>
      <c r="J7" s="3" t="s">
        <v>43</v>
      </c>
      <c r="AC7" s="36" t="s">
        <v>108</v>
      </c>
      <c r="AD7" s="36">
        <v>15.5</v>
      </c>
      <c r="AE7" s="36">
        <v>19</v>
      </c>
      <c r="AF7" s="36">
        <f t="shared" si="0"/>
        <v>3.5</v>
      </c>
      <c r="AG7" s="36">
        <v>720</v>
      </c>
      <c r="AH7" s="36">
        <v>437.71</v>
      </c>
      <c r="AI7" s="36">
        <f t="shared" si="1"/>
        <v>1.5319849999999999</v>
      </c>
      <c r="AJ7" s="36">
        <f t="shared" si="2"/>
        <v>1103.0291999999999</v>
      </c>
    </row>
    <row r="8" spans="1:39" x14ac:dyDescent="0.25">
      <c r="A8" s="39"/>
      <c r="B8" t="s">
        <v>165</v>
      </c>
      <c r="C8">
        <v>28</v>
      </c>
      <c r="D8">
        <v>0.83</v>
      </c>
      <c r="E8">
        <f>D8*C8</f>
        <v>23.24</v>
      </c>
      <c r="F8">
        <f>0.6*2.12</f>
        <v>1.272</v>
      </c>
      <c r="G8">
        <v>2.8</v>
      </c>
      <c r="H8">
        <f>G8*F8</f>
        <v>3.5615999999999999</v>
      </c>
      <c r="I8">
        <f>SUM(H8:H11)+SUM(E8:E11)</f>
        <v>104.49020000000002</v>
      </c>
      <c r="J8">
        <f>I8*D4</f>
        <v>277.94393199999985</v>
      </c>
      <c r="M8">
        <f>SUM(H8:H11)</f>
        <v>17.606400000000001</v>
      </c>
      <c r="N8">
        <f>D4*M8</f>
        <v>46.833023999999973</v>
      </c>
      <c r="Q8" t="s">
        <v>44</v>
      </c>
      <c r="AC8" s="37" t="s">
        <v>115</v>
      </c>
      <c r="AD8" s="37">
        <v>19.100000000000001</v>
      </c>
      <c r="AE8" s="37">
        <v>26.5</v>
      </c>
      <c r="AF8" s="37">
        <f t="shared" si="0"/>
        <v>7.3999999999999986</v>
      </c>
      <c r="AG8" s="37">
        <v>744</v>
      </c>
      <c r="AH8" s="37">
        <v>437.71</v>
      </c>
      <c r="AI8" s="37">
        <f t="shared" si="1"/>
        <v>3.239053999999999</v>
      </c>
      <c r="AJ8" s="37">
        <f t="shared" si="2"/>
        <v>2409.8561759999993</v>
      </c>
    </row>
    <row r="9" spans="1:39" ht="60" x14ac:dyDescent="0.25">
      <c r="A9" s="39"/>
      <c r="B9" t="s">
        <v>45</v>
      </c>
      <c r="C9">
        <v>18.690000000000001</v>
      </c>
      <c r="D9">
        <v>1.36</v>
      </c>
      <c r="E9">
        <f t="shared" ref="E9:E11" si="3">D9*C9</f>
        <v>25.418400000000002</v>
      </c>
      <c r="F9">
        <f>0.9*1.84</f>
        <v>1.6560000000000001</v>
      </c>
      <c r="G9">
        <v>2.8</v>
      </c>
      <c r="H9">
        <f t="shared" ref="H9:H11" si="4">G9*F9</f>
        <v>4.6368</v>
      </c>
      <c r="Q9" s="5" t="s">
        <v>46</v>
      </c>
      <c r="R9" s="6" t="s">
        <v>29</v>
      </c>
      <c r="S9" s="6" t="s">
        <v>30</v>
      </c>
      <c r="T9" s="6" t="s">
        <v>31</v>
      </c>
      <c r="AC9" s="37" t="s">
        <v>116</v>
      </c>
      <c r="AD9" s="37">
        <v>23</v>
      </c>
      <c r="AE9" s="37">
        <v>26.5</v>
      </c>
      <c r="AF9" s="37">
        <f t="shared" si="0"/>
        <v>3.5</v>
      </c>
      <c r="AG9" s="37">
        <v>720</v>
      </c>
      <c r="AH9" s="37">
        <v>437.71</v>
      </c>
      <c r="AI9" s="37">
        <f t="shared" si="1"/>
        <v>1.5319849999999999</v>
      </c>
      <c r="AJ9" s="37">
        <f t="shared" si="2"/>
        <v>1103.0291999999999</v>
      </c>
    </row>
    <row r="10" spans="1:39" x14ac:dyDescent="0.25">
      <c r="A10" s="39"/>
      <c r="B10" t="s">
        <v>47</v>
      </c>
      <c r="C10">
        <v>10.06</v>
      </c>
      <c r="D10">
        <v>1.34</v>
      </c>
      <c r="E10">
        <f t="shared" si="3"/>
        <v>13.480400000000001</v>
      </c>
      <c r="H10">
        <f t="shared" si="4"/>
        <v>0</v>
      </c>
      <c r="Q10" t="s">
        <v>48</v>
      </c>
      <c r="R10">
        <f>1/R5</f>
        <v>7.1428571428571423</v>
      </c>
      <c r="S10">
        <f t="shared" ref="S10:T11" si="5">1/S5</f>
        <v>10</v>
      </c>
      <c r="T10">
        <f>1/T5</f>
        <v>7.1428571428571423</v>
      </c>
      <c r="AC10" s="37" t="s">
        <v>117</v>
      </c>
      <c r="AD10" s="37">
        <v>25.9</v>
      </c>
      <c r="AE10" s="37">
        <v>26.5</v>
      </c>
      <c r="AF10" s="37">
        <f t="shared" si="0"/>
        <v>0.60000000000000142</v>
      </c>
      <c r="AG10" s="37">
        <v>744</v>
      </c>
      <c r="AH10" s="37">
        <v>437.71</v>
      </c>
      <c r="AI10" s="37">
        <f t="shared" si="1"/>
        <v>0.26262600000000058</v>
      </c>
      <c r="AJ10" s="37">
        <f t="shared" si="2"/>
        <v>195.39374400000042</v>
      </c>
    </row>
    <row r="11" spans="1:39" x14ac:dyDescent="0.25">
      <c r="A11" s="39"/>
      <c r="B11" t="s">
        <v>49</v>
      </c>
      <c r="C11">
        <v>25.25</v>
      </c>
      <c r="D11">
        <v>0.98</v>
      </c>
      <c r="E11">
        <f t="shared" si="3"/>
        <v>24.745000000000001</v>
      </c>
      <c r="F11">
        <f>1.4*2.4</f>
        <v>3.36</v>
      </c>
      <c r="G11">
        <v>2.8</v>
      </c>
      <c r="H11">
        <f t="shared" si="4"/>
        <v>9.4079999999999995</v>
      </c>
      <c r="Q11" t="s">
        <v>50</v>
      </c>
      <c r="R11">
        <f>1/R6</f>
        <v>25</v>
      </c>
      <c r="S11">
        <f t="shared" si="5"/>
        <v>16.666666666666668</v>
      </c>
      <c r="T11">
        <f t="shared" si="5"/>
        <v>25</v>
      </c>
      <c r="AC11" s="37" t="s">
        <v>118</v>
      </c>
      <c r="AD11" s="37">
        <v>26.3</v>
      </c>
      <c r="AE11" s="37">
        <v>26.5</v>
      </c>
      <c r="AF11" s="37">
        <f t="shared" si="0"/>
        <v>0.19999999999999929</v>
      </c>
      <c r="AG11" s="37">
        <v>744</v>
      </c>
      <c r="AH11" s="37">
        <v>437.71</v>
      </c>
      <c r="AI11" s="37">
        <f t="shared" si="1"/>
        <v>8.754199999999969E-2</v>
      </c>
      <c r="AJ11" s="37">
        <f t="shared" si="2"/>
        <v>65.131247999999772</v>
      </c>
    </row>
    <row r="12" spans="1:39" x14ac:dyDescent="0.25">
      <c r="A12" s="39"/>
      <c r="AC12" s="37" t="s">
        <v>121</v>
      </c>
      <c r="AD12" s="37">
        <v>24.1</v>
      </c>
      <c r="AE12" s="37">
        <v>26.5</v>
      </c>
      <c r="AF12" s="37">
        <f t="shared" si="0"/>
        <v>2.3999999999999986</v>
      </c>
      <c r="AG12" s="37">
        <v>720</v>
      </c>
      <c r="AH12" s="37">
        <v>437.71</v>
      </c>
      <c r="AI12" s="37">
        <f t="shared" si="1"/>
        <v>1.0505039999999992</v>
      </c>
      <c r="AJ12" s="37">
        <f t="shared" si="2"/>
        <v>756.36287999999945</v>
      </c>
    </row>
    <row r="13" spans="1:39" ht="15.75" thickBot="1" x14ac:dyDescent="0.3">
      <c r="A13" s="39"/>
      <c r="B13" s="2" t="s">
        <v>51</v>
      </c>
      <c r="C13" s="2" t="s">
        <v>52</v>
      </c>
      <c r="D13" s="2" t="s">
        <v>53</v>
      </c>
      <c r="E13" s="2" t="s">
        <v>54</v>
      </c>
      <c r="F13" s="2" t="s">
        <v>55</v>
      </c>
      <c r="G13" s="2" t="s">
        <v>56</v>
      </c>
      <c r="H13" s="2" t="s">
        <v>57</v>
      </c>
      <c r="J13" s="2"/>
      <c r="AC13" s="37" t="s">
        <v>122</v>
      </c>
      <c r="AD13" s="37">
        <v>20.7</v>
      </c>
      <c r="AE13" s="37">
        <v>26.5</v>
      </c>
      <c r="AF13" s="37">
        <f t="shared" si="0"/>
        <v>5.8000000000000007</v>
      </c>
      <c r="AG13" s="37">
        <v>744</v>
      </c>
      <c r="AH13" s="37">
        <v>437.71</v>
      </c>
      <c r="AI13" s="37">
        <f t="shared" si="1"/>
        <v>2.5387180000000003</v>
      </c>
      <c r="AJ13" s="37">
        <f t="shared" si="2"/>
        <v>1888.8061920000002</v>
      </c>
    </row>
    <row r="14" spans="1:39" x14ac:dyDescent="0.25">
      <c r="A14" s="39"/>
      <c r="B14">
        <v>0.9</v>
      </c>
      <c r="C14">
        <f>D2*F2</f>
        <v>300</v>
      </c>
      <c r="D14">
        <f>1000*1.2/3600</f>
        <v>0.33333333333333331</v>
      </c>
      <c r="E14" s="1"/>
      <c r="F14" s="1"/>
      <c r="G14">
        <v>1</v>
      </c>
      <c r="H14">
        <f>C14*B14*D14*D4+F14*E14*D4*G14</f>
        <v>239.39999999999986</v>
      </c>
      <c r="Q14" s="9" t="s">
        <v>88</v>
      </c>
      <c r="R14" s="10"/>
      <c r="S14" s="10"/>
      <c r="T14" s="10"/>
      <c r="U14" s="10"/>
      <c r="V14" s="10"/>
      <c r="W14" s="10"/>
      <c r="X14" s="10"/>
      <c r="Y14" s="10"/>
      <c r="Z14" s="11"/>
      <c r="AC14" s="36" t="s">
        <v>123</v>
      </c>
      <c r="AD14" s="36">
        <v>17</v>
      </c>
      <c r="AE14" s="36">
        <v>19</v>
      </c>
      <c r="AF14" s="36">
        <f t="shared" si="0"/>
        <v>2</v>
      </c>
      <c r="AG14" s="36">
        <v>720</v>
      </c>
      <c r="AH14" s="36">
        <v>437.71</v>
      </c>
      <c r="AI14" s="36">
        <f t="shared" si="1"/>
        <v>0.87541999999999998</v>
      </c>
      <c r="AJ14" s="36">
        <f t="shared" si="2"/>
        <v>630.30240000000003</v>
      </c>
    </row>
    <row r="15" spans="1:39" ht="30" x14ac:dyDescent="0.25">
      <c r="B15" s="2" t="s">
        <v>58</v>
      </c>
      <c r="C15" s="2" t="s">
        <v>52</v>
      </c>
      <c r="D15" s="3" t="s">
        <v>59</v>
      </c>
      <c r="E15" s="3" t="s">
        <v>60</v>
      </c>
      <c r="F15" s="2" t="s">
        <v>54</v>
      </c>
      <c r="G15" s="2" t="s">
        <v>55</v>
      </c>
      <c r="H15" s="2" t="s">
        <v>56</v>
      </c>
      <c r="I15" s="2" t="s">
        <v>61</v>
      </c>
      <c r="Q15" s="12" t="s">
        <v>95</v>
      </c>
      <c r="R15" t="s">
        <v>96</v>
      </c>
      <c r="Z15" s="13"/>
      <c r="AC15" s="36" t="s">
        <v>128</v>
      </c>
      <c r="AD15" s="36">
        <v>13.8</v>
      </c>
      <c r="AE15" s="36">
        <v>19</v>
      </c>
      <c r="AF15" s="36">
        <f t="shared" si="0"/>
        <v>5.1999999999999993</v>
      </c>
      <c r="AG15" s="36">
        <v>744</v>
      </c>
      <c r="AH15" s="36">
        <v>437.71</v>
      </c>
      <c r="AI15" s="36">
        <f t="shared" si="1"/>
        <v>2.2760919999999998</v>
      </c>
      <c r="AJ15" s="36">
        <f t="shared" si="2"/>
        <v>1693.4124479999998</v>
      </c>
    </row>
    <row r="16" spans="1:39" x14ac:dyDescent="0.25">
      <c r="B16">
        <v>0.9</v>
      </c>
      <c r="C16">
        <f>D2*F2</f>
        <v>300</v>
      </c>
      <c r="D16">
        <f>2501000/3600</f>
        <v>694.72222222222217</v>
      </c>
      <c r="E16">
        <f>1.2</f>
        <v>1.2</v>
      </c>
      <c r="F16" s="1"/>
      <c r="G16" s="1"/>
      <c r="H16">
        <v>1</v>
      </c>
      <c r="I16">
        <f>C16*B16*D16*G4*E16+G16*F16*D6*H16</f>
        <v>-42.639532487779384</v>
      </c>
      <c r="Q16" s="12"/>
      <c r="R16" t="s">
        <v>97</v>
      </c>
      <c r="S16" t="s">
        <v>98</v>
      </c>
      <c r="Z16" s="13"/>
    </row>
    <row r="17" spans="1:39" x14ac:dyDescent="0.25">
      <c r="Q17" s="12"/>
      <c r="S17" t="s">
        <v>100</v>
      </c>
      <c r="T17" t="s">
        <v>101</v>
      </c>
      <c r="U17" t="s">
        <v>102</v>
      </c>
      <c r="V17" t="s">
        <v>47</v>
      </c>
      <c r="W17" t="s">
        <v>49</v>
      </c>
      <c r="X17" t="s">
        <v>103</v>
      </c>
      <c r="Y17" t="s">
        <v>8</v>
      </c>
      <c r="Z17" s="13" t="s">
        <v>45</v>
      </c>
    </row>
    <row r="18" spans="1:39" x14ac:dyDescent="0.25">
      <c r="Q18" s="12" t="s">
        <v>104</v>
      </c>
      <c r="R18" s="8">
        <v>109.58333333333333</v>
      </c>
      <c r="S18" s="8">
        <v>28.75</v>
      </c>
      <c r="T18" s="8">
        <v>30.416666666666668</v>
      </c>
      <c r="U18" s="8">
        <v>66.666666666666671</v>
      </c>
      <c r="V18" s="8">
        <v>125.83333333333333</v>
      </c>
      <c r="W18" s="8">
        <v>170</v>
      </c>
      <c r="X18" s="8">
        <v>136.66666666666666</v>
      </c>
      <c r="Y18" s="8">
        <v>75.833333333333329</v>
      </c>
      <c r="Z18" s="14">
        <v>32.5</v>
      </c>
    </row>
    <row r="19" spans="1:39" x14ac:dyDescent="0.25">
      <c r="Q19" s="12" t="s">
        <v>105</v>
      </c>
      <c r="R19" s="8">
        <v>149.58333333333334</v>
      </c>
      <c r="S19" s="8">
        <v>40</v>
      </c>
      <c r="T19" s="8">
        <v>47.916666666666664</v>
      </c>
      <c r="U19" s="8">
        <v>95</v>
      </c>
      <c r="V19" s="8">
        <v>150</v>
      </c>
      <c r="W19" s="8">
        <v>182.08333333333334</v>
      </c>
      <c r="X19" s="8">
        <v>144.58333333333334</v>
      </c>
      <c r="Y19" s="8">
        <v>90</v>
      </c>
      <c r="Z19" s="14">
        <v>46.25</v>
      </c>
    </row>
    <row r="20" spans="1:39" x14ac:dyDescent="0.25">
      <c r="A20" s="40" t="s">
        <v>62</v>
      </c>
      <c r="B20" s="2" t="s">
        <v>36</v>
      </c>
      <c r="C20" s="2" t="s">
        <v>63</v>
      </c>
      <c r="D20" s="2" t="s">
        <v>64</v>
      </c>
      <c r="E20" s="2" t="s">
        <v>37</v>
      </c>
      <c r="F20" s="2" t="s">
        <v>65</v>
      </c>
      <c r="G20" s="2" t="s">
        <v>38</v>
      </c>
      <c r="H20" s="2" t="s">
        <v>66</v>
      </c>
      <c r="I20" s="2" t="s">
        <v>67</v>
      </c>
      <c r="J20" s="2" t="s">
        <v>68</v>
      </c>
      <c r="Q20" s="12" t="s">
        <v>106</v>
      </c>
      <c r="R20" s="8">
        <v>208.33333333333334</v>
      </c>
      <c r="S20" s="8">
        <v>49.583333333333336</v>
      </c>
      <c r="T20" s="8">
        <v>71.25</v>
      </c>
      <c r="U20" s="8">
        <v>126.25</v>
      </c>
      <c r="V20" s="8">
        <v>165</v>
      </c>
      <c r="W20" s="8">
        <v>180.41666666666666</v>
      </c>
      <c r="X20" s="8">
        <v>164.58333333333334</v>
      </c>
      <c r="Y20" s="8">
        <v>127.5</v>
      </c>
      <c r="Z20" s="14">
        <v>73.75</v>
      </c>
    </row>
    <row r="21" spans="1:39" x14ac:dyDescent="0.25">
      <c r="A21" s="41"/>
      <c r="B21" t="s">
        <v>69</v>
      </c>
      <c r="C21">
        <v>0</v>
      </c>
      <c r="D21">
        <v>0.59</v>
      </c>
      <c r="E21">
        <v>42.72</v>
      </c>
      <c r="F21">
        <v>0.9</v>
      </c>
      <c r="G21">
        <v>0.49</v>
      </c>
      <c r="H21">
        <v>25</v>
      </c>
      <c r="I21">
        <f>C21*F21*E21*G21*D21/H21</f>
        <v>0</v>
      </c>
      <c r="J21">
        <f>SUM(I21:I24)</f>
        <v>0</v>
      </c>
      <c r="Q21" s="12" t="s">
        <v>108</v>
      </c>
      <c r="R21" s="8">
        <v>247.91666666666666</v>
      </c>
      <c r="S21" s="8">
        <v>59.583333333333336</v>
      </c>
      <c r="T21" s="8">
        <v>99.166666666666671</v>
      </c>
      <c r="U21" s="8">
        <v>146.66666666666666</v>
      </c>
      <c r="V21" s="8">
        <v>155.83333333333334</v>
      </c>
      <c r="W21" s="8">
        <v>137.91666666666666</v>
      </c>
      <c r="X21" s="8">
        <v>149.16666666666666</v>
      </c>
      <c r="Y21" s="8">
        <v>139.16666666666666</v>
      </c>
      <c r="Z21" s="14">
        <v>95.416666666666671</v>
      </c>
      <c r="AM21" t="s">
        <v>161</v>
      </c>
    </row>
    <row r="22" spans="1:39" x14ac:dyDescent="0.25">
      <c r="A22" s="41"/>
      <c r="B22" t="s">
        <v>45</v>
      </c>
      <c r="C22">
        <v>0</v>
      </c>
      <c r="D22">
        <v>1</v>
      </c>
      <c r="E22">
        <v>18.690000000000001</v>
      </c>
      <c r="F22">
        <v>0.5</v>
      </c>
      <c r="G22">
        <v>1.25</v>
      </c>
      <c r="H22">
        <v>16.66</v>
      </c>
      <c r="I22">
        <f t="shared" ref="I22:I24" si="6">C22*F22*E22*G22*D22/H22</f>
        <v>0</v>
      </c>
      <c r="Q22" s="12" t="s">
        <v>115</v>
      </c>
      <c r="R22" s="8">
        <v>305.83333333333331</v>
      </c>
      <c r="S22" s="8">
        <v>77.916666666666671</v>
      </c>
      <c r="T22" s="8">
        <v>130.41666666666666</v>
      </c>
      <c r="U22" s="8">
        <v>172.5</v>
      </c>
      <c r="V22" s="8">
        <v>159.16666666666666</v>
      </c>
      <c r="W22" s="8">
        <v>119.16666666666667</v>
      </c>
      <c r="X22" s="8">
        <v>159.16666666666666</v>
      </c>
      <c r="Y22" s="8">
        <v>171.25</v>
      </c>
      <c r="Z22" s="14">
        <v>129.16666666666666</v>
      </c>
    </row>
    <row r="23" spans="1:39" x14ac:dyDescent="0.25">
      <c r="A23" s="41"/>
      <c r="B23" t="s">
        <v>47</v>
      </c>
      <c r="C23">
        <v>0</v>
      </c>
      <c r="D23">
        <v>0.8</v>
      </c>
      <c r="E23">
        <v>10.06</v>
      </c>
      <c r="F23">
        <v>0.5</v>
      </c>
      <c r="G23">
        <v>1.19</v>
      </c>
      <c r="H23">
        <v>16.66</v>
      </c>
      <c r="I23">
        <f t="shared" si="6"/>
        <v>0</v>
      </c>
      <c r="Q23" s="12" t="s">
        <v>116</v>
      </c>
      <c r="R23" s="8">
        <v>324.58333333333331</v>
      </c>
      <c r="S23" s="8">
        <v>95</v>
      </c>
      <c r="T23" s="8">
        <v>150.41666666666666</v>
      </c>
      <c r="U23" s="8">
        <v>185.83333333333334</v>
      </c>
      <c r="V23" s="8">
        <v>155.83333333333334</v>
      </c>
      <c r="W23" s="8">
        <v>102.5</v>
      </c>
      <c r="X23" s="8">
        <v>154.16666666666666</v>
      </c>
      <c r="Y23" s="8">
        <v>183.75</v>
      </c>
      <c r="Z23" s="14">
        <v>148.75</v>
      </c>
    </row>
    <row r="24" spans="1:39" x14ac:dyDescent="0.25">
      <c r="A24" s="41"/>
      <c r="B24" t="s">
        <v>49</v>
      </c>
      <c r="C24">
        <v>0</v>
      </c>
      <c r="D24">
        <v>1</v>
      </c>
      <c r="E24">
        <v>25.25</v>
      </c>
      <c r="F24">
        <v>0.5</v>
      </c>
      <c r="G24">
        <v>0.87</v>
      </c>
      <c r="H24">
        <v>16.66</v>
      </c>
      <c r="I24">
        <f t="shared" si="6"/>
        <v>0</v>
      </c>
      <c r="Q24" s="12" t="s">
        <v>117</v>
      </c>
      <c r="R24" s="8">
        <v>330</v>
      </c>
      <c r="S24" s="8">
        <v>85</v>
      </c>
      <c r="T24" s="8">
        <v>139.58333333333334</v>
      </c>
      <c r="U24" s="8">
        <v>180.41666666666666</v>
      </c>
      <c r="V24" s="8">
        <v>158.75</v>
      </c>
      <c r="W24" s="8">
        <v>110</v>
      </c>
      <c r="X24" s="8">
        <v>162.5</v>
      </c>
      <c r="Y24" s="8">
        <v>187.91666666666666</v>
      </c>
      <c r="Z24" s="14">
        <v>146.25</v>
      </c>
    </row>
    <row r="25" spans="1:39" x14ac:dyDescent="0.25">
      <c r="A25" s="41"/>
      <c r="Q25" s="12" t="s">
        <v>118</v>
      </c>
      <c r="R25" s="8">
        <v>290.41666666666669</v>
      </c>
      <c r="S25" s="8">
        <v>65</v>
      </c>
      <c r="T25" s="8">
        <v>114.58333333333333</v>
      </c>
      <c r="U25" s="8">
        <v>165</v>
      </c>
      <c r="V25" s="8">
        <v>166.66666666666666</v>
      </c>
      <c r="W25" s="8">
        <v>139.16666666666666</v>
      </c>
      <c r="X25" s="8">
        <v>165</v>
      </c>
      <c r="Y25" s="8">
        <v>162.08333333333334</v>
      </c>
      <c r="Z25" s="14">
        <v>112.5</v>
      </c>
    </row>
    <row r="26" spans="1:39" x14ac:dyDescent="0.25">
      <c r="A26" s="41"/>
      <c r="B26" s="2" t="s">
        <v>36</v>
      </c>
      <c r="C26" s="2" t="s">
        <v>63</v>
      </c>
      <c r="D26" s="2" t="s">
        <v>64</v>
      </c>
      <c r="E26" s="2" t="s">
        <v>40</v>
      </c>
      <c r="F26" s="2" t="s">
        <v>70</v>
      </c>
      <c r="G26" s="2" t="s">
        <v>71</v>
      </c>
      <c r="H26" s="2" t="s">
        <v>72</v>
      </c>
      <c r="I26" s="2" t="s">
        <v>73</v>
      </c>
      <c r="Q26" s="12" t="s">
        <v>121</v>
      </c>
      <c r="R26" s="8">
        <v>234.16666666666666</v>
      </c>
      <c r="S26" s="8">
        <v>54.166666666666664</v>
      </c>
      <c r="T26" s="8">
        <v>89.583333333333329</v>
      </c>
      <c r="U26" s="8">
        <v>147.91666666666666</v>
      </c>
      <c r="V26" s="8">
        <v>175.41666666666666</v>
      </c>
      <c r="W26" s="8">
        <v>172.91666666666666</v>
      </c>
      <c r="X26" s="8">
        <v>164.16666666666666</v>
      </c>
      <c r="Y26" s="8">
        <v>135</v>
      </c>
      <c r="Z26" s="14">
        <v>82.5</v>
      </c>
    </row>
    <row r="27" spans="1:39" x14ac:dyDescent="0.25">
      <c r="A27" s="41"/>
      <c r="B27" t="s">
        <v>69</v>
      </c>
      <c r="C27">
        <v>0</v>
      </c>
      <c r="D27">
        <v>1</v>
      </c>
      <c r="E27">
        <f>0.6*2.12</f>
        <v>1.272</v>
      </c>
      <c r="F27">
        <v>0.52</v>
      </c>
      <c r="G27">
        <f>C27*D27*E27*F27</f>
        <v>0</v>
      </c>
      <c r="H27">
        <v>0.8</v>
      </c>
      <c r="I27">
        <f>H27*SUM(G27:G29)</f>
        <v>0</v>
      </c>
      <c r="Q27" s="12" t="s">
        <v>122</v>
      </c>
      <c r="R27" s="8">
        <v>170.83333333333334</v>
      </c>
      <c r="S27" s="8">
        <v>42.5</v>
      </c>
      <c r="T27" s="8">
        <v>52.5</v>
      </c>
      <c r="U27" s="8">
        <v>100.83333333333333</v>
      </c>
      <c r="V27" s="8">
        <v>151.25</v>
      </c>
      <c r="W27" s="8">
        <v>186.24999999999997</v>
      </c>
      <c r="X27" s="8">
        <v>160</v>
      </c>
      <c r="Y27" s="8">
        <v>109.16666666666667</v>
      </c>
      <c r="Z27" s="14">
        <v>55.833333333333336</v>
      </c>
    </row>
    <row r="28" spans="1:39" x14ac:dyDescent="0.25">
      <c r="A28" s="41"/>
      <c r="B28" t="s">
        <v>45</v>
      </c>
      <c r="C28">
        <v>0</v>
      </c>
      <c r="D28">
        <v>0.82</v>
      </c>
      <c r="E28">
        <f>0.9*1.84</f>
        <v>1.6560000000000001</v>
      </c>
      <c r="F28">
        <v>0.52</v>
      </c>
      <c r="G28">
        <f>C28*D28*E28*F28</f>
        <v>0</v>
      </c>
      <c r="Q28" s="12" t="s">
        <v>123</v>
      </c>
      <c r="R28" s="8">
        <v>127.08333333333333</v>
      </c>
      <c r="S28" s="8">
        <v>33.333333333333336</v>
      </c>
      <c r="T28" s="8">
        <v>38.75</v>
      </c>
      <c r="U28" s="8">
        <v>86.666666666666671</v>
      </c>
      <c r="V28" s="8">
        <v>150.83333333333334</v>
      </c>
      <c r="W28" s="8">
        <v>185.83333333333334</v>
      </c>
      <c r="X28" s="8">
        <v>139.58333333333334</v>
      </c>
      <c r="Y28" s="8">
        <v>77.5</v>
      </c>
      <c r="Z28" s="14">
        <v>36.25</v>
      </c>
    </row>
    <row r="29" spans="1:39" ht="15.75" thickBot="1" x14ac:dyDescent="0.3">
      <c r="A29" s="41"/>
      <c r="B29" t="s">
        <v>47</v>
      </c>
      <c r="C29">
        <v>0</v>
      </c>
      <c r="D29">
        <v>0.79</v>
      </c>
      <c r="E29">
        <f>1.4*2.4</f>
        <v>3.36</v>
      </c>
      <c r="F29">
        <v>0.52</v>
      </c>
      <c r="G29">
        <f>C29*D29*E29*F29</f>
        <v>0</v>
      </c>
      <c r="Q29" s="15" t="s">
        <v>128</v>
      </c>
      <c r="R29" s="16">
        <v>96.666666666666671</v>
      </c>
      <c r="S29" s="16">
        <v>28.333333333333332</v>
      </c>
      <c r="T29" s="16">
        <v>29.166666666666668</v>
      </c>
      <c r="U29" s="16">
        <v>60</v>
      </c>
      <c r="V29" s="16">
        <v>115.83333333333333</v>
      </c>
      <c r="W29" s="16">
        <v>149.58333333333334</v>
      </c>
      <c r="X29" s="16">
        <v>113.75</v>
      </c>
      <c r="Y29" s="16">
        <v>58.75</v>
      </c>
      <c r="Z29" s="17">
        <v>29.166666666666668</v>
      </c>
    </row>
    <row r="30" spans="1:39" x14ac:dyDescent="0.25">
      <c r="A30" s="41"/>
      <c r="G30">
        <f>C30*D30*E29*F29</f>
        <v>0</v>
      </c>
    </row>
    <row r="31" spans="1:39" x14ac:dyDescent="0.25">
      <c r="A31" s="41"/>
    </row>
    <row r="32" spans="1:39" x14ac:dyDescent="0.25">
      <c r="A32" s="41"/>
      <c r="B32" s="2" t="s">
        <v>74</v>
      </c>
      <c r="C32" s="2" t="s">
        <v>75</v>
      </c>
      <c r="D32" s="2" t="s">
        <v>76</v>
      </c>
      <c r="E32" s="2" t="s">
        <v>77</v>
      </c>
      <c r="F32" s="2" t="s">
        <v>78</v>
      </c>
      <c r="G32" s="2" t="s">
        <v>77</v>
      </c>
      <c r="H32" s="2" t="s">
        <v>79</v>
      </c>
    </row>
    <row r="33" spans="1:19" x14ac:dyDescent="0.25">
      <c r="A33" s="41"/>
      <c r="B33">
        <v>1.5</v>
      </c>
      <c r="C33">
        <v>0.3</v>
      </c>
      <c r="D33">
        <v>1.5</v>
      </c>
      <c r="E33">
        <v>0.3</v>
      </c>
      <c r="F33">
        <v>1.2</v>
      </c>
      <c r="G33">
        <v>0.3</v>
      </c>
      <c r="H33">
        <f>(G33*F33+E33*D33+C33*B33)*D2</f>
        <v>125.99999999999997</v>
      </c>
    </row>
    <row r="35" spans="1:19" x14ac:dyDescent="0.25">
      <c r="A35" s="42" t="s">
        <v>140</v>
      </c>
      <c r="B35" s="2" t="s">
        <v>80</v>
      </c>
      <c r="C35" s="2" t="s">
        <v>81</v>
      </c>
      <c r="D35" s="2" t="s">
        <v>82</v>
      </c>
      <c r="E35" s="2" t="s">
        <v>83</v>
      </c>
      <c r="F35" s="2" t="s">
        <v>84</v>
      </c>
      <c r="G35" s="2" t="s">
        <v>85</v>
      </c>
      <c r="H35" s="21" t="s">
        <v>163</v>
      </c>
      <c r="I35" s="21" t="s">
        <v>166</v>
      </c>
      <c r="J35" s="2" t="s">
        <v>86</v>
      </c>
      <c r="K35" s="21" t="s">
        <v>162</v>
      </c>
    </row>
    <row r="36" spans="1:19" x14ac:dyDescent="0.25">
      <c r="A36" s="43"/>
      <c r="B36" t="s">
        <v>167</v>
      </c>
      <c r="C36">
        <v>2000</v>
      </c>
      <c r="D36">
        <f>1000/3600</f>
        <v>0.27777777777777779</v>
      </c>
      <c r="E36">
        <v>28</v>
      </c>
      <c r="F36">
        <v>0.1</v>
      </c>
      <c r="G36">
        <f>F36*E36*D36*C36</f>
        <v>1555.5555555555559</v>
      </c>
      <c r="H36">
        <f>G36/24</f>
        <v>64.814814814814824</v>
      </c>
      <c r="I36">
        <f>H36*$D$4</f>
        <v>172.40740740740733</v>
      </c>
      <c r="J36">
        <f>(G36+G37+G38+G39)*D4</f>
        <v>7428.4582582777739</v>
      </c>
      <c r="K36">
        <f>J36/24</f>
        <v>309.51909409490725</v>
      </c>
    </row>
    <row r="37" spans="1:19" x14ac:dyDescent="0.25">
      <c r="A37" s="43"/>
      <c r="C37">
        <v>1200</v>
      </c>
      <c r="D37">
        <f>840/3600</f>
        <v>0.23333333333333334</v>
      </c>
      <c r="E37">
        <v>18.690000000000001</v>
      </c>
      <c r="F37">
        <v>0.1</v>
      </c>
      <c r="G37">
        <f t="shared" ref="G37:G39" si="7">F37*E37*D37*C37</f>
        <v>523.32000000000005</v>
      </c>
      <c r="H37">
        <f t="shared" ref="H37:H39" si="8">G37/24</f>
        <v>21.805000000000003</v>
      </c>
      <c r="I37">
        <f t="shared" ref="I37:I39" si="9">H37*$D$4</f>
        <v>58.001299999999972</v>
      </c>
    </row>
    <row r="38" spans="1:19" x14ac:dyDescent="0.25">
      <c r="A38" s="43"/>
      <c r="C38">
        <v>33</v>
      </c>
      <c r="D38">
        <f>1470/3600</f>
        <v>0.40833333333333333</v>
      </c>
      <c r="E38">
        <v>10.06</v>
      </c>
      <c r="F38">
        <v>0.05</v>
      </c>
      <c r="G38">
        <f t="shared" si="7"/>
        <v>6.7779249999999998</v>
      </c>
      <c r="H38">
        <f t="shared" si="8"/>
        <v>0.28241354166666666</v>
      </c>
      <c r="I38">
        <f t="shared" si="9"/>
        <v>0.75122002083333284</v>
      </c>
      <c r="S38" t="s">
        <v>142</v>
      </c>
    </row>
    <row r="39" spans="1:19" x14ac:dyDescent="0.25">
      <c r="A39" s="43"/>
      <c r="C39" s="18">
        <v>1200</v>
      </c>
      <c r="D39">
        <f>840/3600</f>
        <v>0.23333333333333334</v>
      </c>
      <c r="E39">
        <v>25.25</v>
      </c>
      <c r="F39">
        <v>0.1</v>
      </c>
      <c r="G39">
        <f t="shared" si="7"/>
        <v>707.00000000000011</v>
      </c>
      <c r="H39">
        <f t="shared" si="8"/>
        <v>29.458333333333339</v>
      </c>
      <c r="I39">
        <f t="shared" si="9"/>
        <v>78.359166666666638</v>
      </c>
    </row>
    <row r="40" spans="1:19" x14ac:dyDescent="0.25">
      <c r="A40" s="43"/>
    </row>
    <row r="41" spans="1:19" x14ac:dyDescent="0.25">
      <c r="A41" s="43"/>
    </row>
    <row r="46" spans="1:19" x14ac:dyDescent="0.25">
      <c r="B46" s="4" t="s">
        <v>87</v>
      </c>
      <c r="C46" s="4"/>
    </row>
    <row r="47" spans="1:19" x14ac:dyDescent="0.25">
      <c r="B47" s="2" t="s">
        <v>164</v>
      </c>
    </row>
    <row r="48" spans="1:19" x14ac:dyDescent="0.25">
      <c r="B48" s="2" t="s">
        <v>89</v>
      </c>
      <c r="C48" s="7" t="s">
        <v>90</v>
      </c>
      <c r="D48" s="7" t="s">
        <v>91</v>
      </c>
      <c r="E48" s="7" t="s">
        <v>92</v>
      </c>
      <c r="F48" s="7" t="s">
        <v>93</v>
      </c>
      <c r="G48" s="7" t="s">
        <v>94</v>
      </c>
    </row>
    <row r="49" spans="1:16" x14ac:dyDescent="0.25">
      <c r="B49">
        <f>J8</f>
        <v>277.94393199999985</v>
      </c>
      <c r="C49">
        <f>H14</f>
        <v>239.39999999999986</v>
      </c>
      <c r="D49">
        <f>I27</f>
        <v>0</v>
      </c>
      <c r="E49">
        <f>J21</f>
        <v>0</v>
      </c>
      <c r="F49">
        <f>H33</f>
        <v>125.99999999999997</v>
      </c>
      <c r="G49">
        <f>K36</f>
        <v>309.51909409490725</v>
      </c>
    </row>
    <row r="50" spans="1:16" x14ac:dyDescent="0.25">
      <c r="B50" s="2" t="s">
        <v>99</v>
      </c>
    </row>
    <row r="51" spans="1:16" x14ac:dyDescent="0.25">
      <c r="B51">
        <f>SUM(B49:G49)/1000</f>
        <v>0.95286302609490703</v>
      </c>
    </row>
    <row r="53" spans="1:16" ht="15" customHeight="1" x14ac:dyDescent="0.25"/>
    <row r="54" spans="1:16" x14ac:dyDescent="0.25">
      <c r="B54" s="4" t="s">
        <v>107</v>
      </c>
    </row>
    <row r="56" spans="1:16" ht="45" x14ac:dyDescent="0.25">
      <c r="A56" s="44" t="s">
        <v>135</v>
      </c>
      <c r="B56" s="25" t="s">
        <v>130</v>
      </c>
      <c r="C56" s="25" t="s">
        <v>134</v>
      </c>
      <c r="D56" s="26" t="s">
        <v>131</v>
      </c>
      <c r="E56" s="25" t="s">
        <v>132</v>
      </c>
      <c r="F56" s="26" t="s">
        <v>133</v>
      </c>
      <c r="G56" s="25" t="s">
        <v>136</v>
      </c>
      <c r="H56" s="27" t="s">
        <v>137</v>
      </c>
      <c r="I56" s="29" t="s">
        <v>138</v>
      </c>
    </row>
    <row r="57" spans="1:16" x14ac:dyDescent="0.25">
      <c r="A57" s="44"/>
      <c r="H57" s="28">
        <f>SUM(B57:G58)</f>
        <v>0</v>
      </c>
    </row>
    <row r="58" spans="1:16" x14ac:dyDescent="0.25">
      <c r="A58" s="44"/>
      <c r="H58" s="47" t="s">
        <v>139</v>
      </c>
      <c r="I58" s="47"/>
      <c r="M58" s="24" t="s">
        <v>124</v>
      </c>
    </row>
    <row r="59" spans="1:16" x14ac:dyDescent="0.25">
      <c r="A59" s="44"/>
    </row>
    <row r="60" spans="1:16" x14ac:dyDescent="0.25">
      <c r="A60" s="44"/>
    </row>
    <row r="61" spans="1:16" x14ac:dyDescent="0.25">
      <c r="A61" s="44"/>
    </row>
    <row r="62" spans="1:16" x14ac:dyDescent="0.25">
      <c r="A62" s="44"/>
    </row>
    <row r="64" spans="1:16" ht="84" x14ac:dyDescent="0.25">
      <c r="A64" s="20" t="s">
        <v>141</v>
      </c>
      <c r="B64" s="25" t="s">
        <v>126</v>
      </c>
      <c r="C64" s="25" t="s">
        <v>125</v>
      </c>
      <c r="D64" t="s">
        <v>149</v>
      </c>
      <c r="E64" s="30" t="s">
        <v>145</v>
      </c>
      <c r="F64" s="31" t="s">
        <v>146</v>
      </c>
      <c r="G64" s="26" t="s">
        <v>147</v>
      </c>
      <c r="H64" s="22" t="s">
        <v>143</v>
      </c>
      <c r="I64" t="s">
        <v>150</v>
      </c>
      <c r="J64" s="21" t="s">
        <v>40</v>
      </c>
      <c r="K64" s="21" t="s">
        <v>148</v>
      </c>
      <c r="O64" s="23" t="s">
        <v>144</v>
      </c>
      <c r="P64" s="29" t="s">
        <v>127</v>
      </c>
    </row>
    <row r="65" spans="1:16" x14ac:dyDescent="0.25">
      <c r="B65" s="32">
        <v>-499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>
        <v>-1262</v>
      </c>
    </row>
    <row r="71" spans="1:16" ht="45" x14ac:dyDescent="0.25">
      <c r="B71" s="3" t="s">
        <v>109</v>
      </c>
      <c r="C71" s="3" t="s">
        <v>110</v>
      </c>
      <c r="D71" s="2" t="s">
        <v>111</v>
      </c>
      <c r="E71" s="3" t="s">
        <v>112</v>
      </c>
      <c r="F71" s="3" t="s">
        <v>113</v>
      </c>
      <c r="G71" s="2" t="s">
        <v>6</v>
      </c>
      <c r="H71" s="3" t="s">
        <v>114</v>
      </c>
      <c r="I71" s="3" t="s">
        <v>169</v>
      </c>
    </row>
    <row r="72" spans="1:16" x14ac:dyDescent="0.25">
      <c r="A72" s="44" t="s">
        <v>168</v>
      </c>
      <c r="B72">
        <v>0</v>
      </c>
      <c r="C72">
        <v>0</v>
      </c>
      <c r="D72">
        <f>C4</f>
        <v>17.489999999999998</v>
      </c>
      <c r="E72">
        <v>0</v>
      </c>
      <c r="F72">
        <v>-300675</v>
      </c>
      <c r="G72">
        <v>71261.45</v>
      </c>
      <c r="H72">
        <v>128270.59669999999</v>
      </c>
    </row>
    <row r="73" spans="1:16" x14ac:dyDescent="0.25">
      <c r="A73" s="44"/>
    </row>
    <row r="74" spans="1:16" x14ac:dyDescent="0.25">
      <c r="A74" s="44"/>
    </row>
    <row r="75" spans="1:16" x14ac:dyDescent="0.25">
      <c r="A75" s="44"/>
      <c r="B75" s="2" t="s">
        <v>119</v>
      </c>
      <c r="C75" s="2" t="s">
        <v>120</v>
      </c>
      <c r="E75" s="2" t="s">
        <v>119</v>
      </c>
      <c r="F75" s="2" t="s">
        <v>120</v>
      </c>
      <c r="G75" s="2" t="s">
        <v>119</v>
      </c>
      <c r="H75" s="2" t="s">
        <v>120</v>
      </c>
      <c r="I75" s="21" t="s">
        <v>120</v>
      </c>
    </row>
    <row r="76" spans="1:16" x14ac:dyDescent="0.25">
      <c r="A76" s="44"/>
      <c r="B76">
        <f>B72/3600</f>
        <v>0</v>
      </c>
      <c r="C76">
        <f>C72/3600</f>
        <v>0</v>
      </c>
      <c r="E76">
        <f>E72/3600</f>
        <v>0</v>
      </c>
      <c r="F76">
        <f>F72/3600</f>
        <v>-83.520833333333329</v>
      </c>
      <c r="G76">
        <f>G72/3600</f>
        <v>19.79484722222222</v>
      </c>
      <c r="H76">
        <f>H72/3600</f>
        <v>35.630721305555554</v>
      </c>
      <c r="I76">
        <f>I72/3600</f>
        <v>0</v>
      </c>
    </row>
    <row r="112" spans="9:19" x14ac:dyDescent="0.25">
      <c r="I112" s="45" t="s">
        <v>129</v>
      </c>
      <c r="J112" s="46"/>
      <c r="K112" s="46"/>
      <c r="L112" s="46"/>
      <c r="M112" s="46"/>
      <c r="N112" s="46"/>
      <c r="O112" s="46"/>
      <c r="P112" s="46"/>
      <c r="Q112" s="46"/>
      <c r="R112" s="46"/>
      <c r="S112" s="46"/>
    </row>
    <row r="113" spans="9:19" x14ac:dyDescent="0.25"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</row>
    <row r="114" spans="9:19" x14ac:dyDescent="0.25"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</row>
    <row r="115" spans="9:19" x14ac:dyDescent="0.25"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</row>
    <row r="116" spans="9:19" x14ac:dyDescent="0.25"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</row>
    <row r="117" spans="9:19" x14ac:dyDescent="0.25"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</row>
    <row r="118" spans="9:19" x14ac:dyDescent="0.25"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</row>
    <row r="119" spans="9:19" x14ac:dyDescent="0.25"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</row>
  </sheetData>
  <mergeCells count="7">
    <mergeCell ref="A7:A14"/>
    <mergeCell ref="A20:A33"/>
    <mergeCell ref="A35:A41"/>
    <mergeCell ref="A72:A76"/>
    <mergeCell ref="I112:S119"/>
    <mergeCell ref="A56:A62"/>
    <mergeCell ref="H58:I58"/>
  </mergeCells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 Total lights heating</vt:lpstr>
      <vt:lpstr>Heatbalance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Caruso</dc:creator>
  <cp:keywords/>
  <dc:description/>
  <cp:lastModifiedBy>Luca Caruso</cp:lastModifiedBy>
  <cp:revision/>
  <dcterms:created xsi:type="dcterms:W3CDTF">2018-09-25T10:32:12Z</dcterms:created>
  <dcterms:modified xsi:type="dcterms:W3CDTF">2018-10-19T11:38:29Z</dcterms:modified>
  <cp:category/>
  <cp:contentStatus/>
</cp:coreProperties>
</file>